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3- II REBALANS  " sheetId="991" r:id="rId1"/>
    <sheet name=" PLAN PRIHODA 2023-II REBALANS " sheetId="990" r:id="rId2"/>
    <sheet name="PLAN RASHODA_2023-II REBALANS " sheetId="3" r:id="rId3"/>
    <sheet name="POSEBNI DIO_2023-II REBALAN " sheetId="992" r:id="rId4"/>
  </sheets>
  <definedNames>
    <definedName name="_xlnm._FilterDatabase" localSheetId="2" hidden="1">'PLAN RASHODA_2023-II REBALANS '!$F$1:$F$276</definedName>
    <definedName name="_xlnm._FilterDatabase" localSheetId="3" hidden="1">'POSEBNI DIO_2023-II REBALAN '!$B$1:$B$1712</definedName>
    <definedName name="_xlnm.Print_Area" localSheetId="1">' PLAN PRIHODA 2023-II REBALANS '!$A$1:$P$74</definedName>
    <definedName name="_xlnm.Print_Area" localSheetId="2">'PLAN RASHODA_2023-II REBALANS '!$A$1:$J$268</definedName>
    <definedName name="_xlnm.Print_Area" localSheetId="3">'POSEBNI DIO_2023-II REBALAN '!$A$1:$L$1660</definedName>
    <definedName name="Z_26DD1F01_CF8A_43D9_9DB0_797700BC8490_.wvu.Cols" localSheetId="2" hidden="1">'PLAN RASHODA_2023-II REBALANS '!#REF!,'PLAN RASHODA_2023-II REBALANS '!#REF!</definedName>
    <definedName name="Z_26DD1F01_CF8A_43D9_9DB0_797700BC8490_.wvu.Cols" localSheetId="3" hidden="1">'POSEBNI DIO_2023-II REBALAN '!#REF!</definedName>
    <definedName name="Z_26DD1F01_CF8A_43D9_9DB0_797700BC8490_.wvu.FilterData" localSheetId="3" hidden="1">'POSEBNI DIO_2023-II REBALAN '!$C$1:$C$1688</definedName>
    <definedName name="Z_26DD1F01_CF8A_43D9_9DB0_797700BC8490_.wvu.PrintArea" localSheetId="2" hidden="1">'PLAN RASHODA_2023-II REBALANS '!$A$1:$J$270</definedName>
    <definedName name="Z_26DD1F01_CF8A_43D9_9DB0_797700BC8490_.wvu.PrintArea" localSheetId="3" hidden="1">'POSEBNI DIO_2023-II REBALAN '!$A$1:$M$1678</definedName>
    <definedName name="Z_CFC6D6B8_215D_4280_8C77_EE993EC512F9_.wvu.Cols" localSheetId="2" hidden="1">'PLAN RASHODA_2023-II REBALANS '!#REF!,'PLAN RASHODA_2023-II REBALANS '!#REF!</definedName>
    <definedName name="Z_CFC6D6B8_215D_4280_8C77_EE993EC512F9_.wvu.Cols" localSheetId="3" hidden="1">'POSEBNI DIO_2023-II REBALAN '!#REF!</definedName>
    <definedName name="Z_CFC6D6B8_215D_4280_8C77_EE993EC512F9_.wvu.FilterData" localSheetId="3" hidden="1">'POSEBNI DIO_2023-II REBALAN '!$C$1:$C$1688</definedName>
    <definedName name="Z_CFC6D6B8_215D_4280_8C77_EE993EC512F9_.wvu.PrintArea" localSheetId="2" hidden="1">'PLAN RASHODA_2023-II REBALANS '!$A$1:$J$270</definedName>
    <definedName name="Z_CFC6D6B8_215D_4280_8C77_EE993EC512F9_.wvu.PrintArea" localSheetId="3" hidden="1">'POSEBNI DIO_2023-II REBALAN '!$A$1:$M$1660</definedName>
    <definedName name="Z_CFC6D6B8_215D_4280_8C77_EE993EC512F9_.wvu.Rows" localSheetId="3" hidden="1">'POSEBNI DIO_2023-II REBALAN '!$14:$16,'POSEBNI DIO_2023-II REBALAN '!$27:$30,'POSEBNI DIO_2023-II REBALAN '!$47:$55,'POSEBNI DIO_2023-II REBALAN '!$61:$66,'POSEBNI DIO_2023-II REBALAN '!$73:$80,'POSEBNI DIO_2023-II REBALAN '!$86:$104,'POSEBNI DIO_2023-II REBALAN '!$109:$110,'POSEBNI DIO_2023-II REBALAN '!$113:$120,'POSEBNI DIO_2023-II REBALAN '!$122:$125,'POSEBNI DIO_2023-II REBALAN '!$127:$127,'POSEBNI DIO_2023-II REBALAN '!$129:$146,'POSEBNI DIO_2023-II REBALAN '!$150:$216,'POSEBNI DIO_2023-II REBALAN '!$433:$434,'POSEBNI DIO_2023-II REBALAN '!$465:$468,'POSEBNI DIO_2023-II REBALAN '!$494:$494,'POSEBNI DIO_2023-II REBALAN '!$498:$498,'POSEBNI DIO_2023-II REBALAN '!$506:$507,'POSEBNI DIO_2023-II REBALAN '!$511:$515,'POSEBNI DIO_2023-II REBALAN '!$558:$559,'POSEBNI DIO_2023-II REBALAN '!$597:$599,'POSEBNI DIO_2023-II REBALAN '!$605:$612,'POSEBNI DIO_2023-II REBALAN '!$619:$620,'POSEBNI DIO_2023-II REBALAN '!$626:$634,'POSEBNI DIO_2023-II REBALAN '!$638:$645,'POSEBNI DIO_2023-II REBALAN '!$648:$654,'POSEBNI DIO_2023-II REBALAN '!$671:$672,'POSEBNI DIO_2023-II REBALAN '!$680:$684,'POSEBNI DIO_2023-II REBALAN '!$689:$692,'POSEBNI DIO_2023-II REBALAN '!$695:$709,'POSEBNI DIO_2023-II REBALAN '!$718:$720,'POSEBNI DIO_2023-II REBALAN '!$724:$735,'POSEBNI DIO_2023-II REBALAN '!$740:$744,'POSEBNI DIO_2023-II REBALAN '!$750:$753,'POSEBNI DIO_2023-II REBALAN '!$759:$766,'POSEBNI DIO_2023-II REBALAN '!$803:$808,'POSEBNI DIO_2023-II REBALAN '!$826:$829,'POSEBNI DIO_2023-II REBALAN '!$834:$837,'POSEBNI DIO_2023-II REBALAN '!$840:$851,'POSEBNI DIO_2023-II REBALAN '!$989:$993,'POSEBNI DIO_2023-II REBALAN '!$999:$1039,'POSEBNI DIO_2023-II REBALAN '!$1054:$1065,'POSEBNI DIO_2023-II REBALAN '!$1070:$1074,'POSEBNI DIO_2023-II REBALAN '!$1080:$1090,'POSEBNI DIO_2023-II REBALAN '!$1094:$1096,'POSEBNI DIO_2023-II REBALAN '!$1102:$1103,'POSEBNI DIO_2023-II REBALAN '!$1119:$1120,'POSEBNI DIO_2023-II REBALAN '!$1125:$1130,'POSEBNI DIO_2023-II REBALAN '!$1142:$1146,'POSEBNI DIO_2023-II REBALAN '!$1150:$1154,'POSEBNI DIO_2023-II REBALAN '!$1159:$1162,'POSEBNI DIO_2023-II REBALAN '!$1166:$1169,'POSEBNI DIO_2023-II REBALAN '!$1171:$1190,'POSEBNI DIO_2023-II REBALAN '!$1202:$1203,'POSEBNI DIO_2023-II REBALAN '!$1218:$1223,'POSEBNI DIO_2023-II REBALAN '!$1227:$1229,'POSEBNI DIO_2023-II REBALAN '!$1235:$1236,'POSEBNI DIO_2023-II REBALAN '!$1258:$1263,'POSEBNI DIO_2023-II REBALAN '!$1269:$1271,'POSEBNI DIO_2023-II REBALAN '!$1275:$1276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23" i="992" l="1"/>
  <c r="I522" i="992" s="1"/>
  <c r="K522" i="992"/>
  <c r="L522" i="992"/>
  <c r="M522" i="992"/>
  <c r="J6" i="992"/>
  <c r="K6" i="992"/>
  <c r="I6" i="992"/>
  <c r="K523" i="992"/>
  <c r="J527" i="992"/>
  <c r="I5" i="990" l="1"/>
  <c r="D13" i="991" l="1"/>
  <c r="K539" i="992" l="1"/>
  <c r="J539" i="992"/>
  <c r="I539" i="992"/>
  <c r="J529" i="992"/>
  <c r="K529" i="992"/>
  <c r="I529" i="992"/>
  <c r="J530" i="992"/>
  <c r="J523" i="992"/>
  <c r="J522" i="992" s="1"/>
  <c r="C1705" i="992"/>
  <c r="C1704" i="992"/>
  <c r="C1701" i="992"/>
  <c r="C1700" i="992"/>
  <c r="C1698" i="992"/>
  <c r="J1651" i="992"/>
  <c r="J1650" i="992" s="1"/>
  <c r="K1650" i="992"/>
  <c r="I1650" i="992"/>
  <c r="J1649" i="992"/>
  <c r="J1648" i="992" s="1"/>
  <c r="K1648" i="992"/>
  <c r="I1648" i="992"/>
  <c r="J1644" i="992"/>
  <c r="J1643" i="992" s="1"/>
  <c r="J1642" i="992" s="1"/>
  <c r="J1641" i="992" s="1"/>
  <c r="J1640" i="992" s="1"/>
  <c r="K1643" i="992"/>
  <c r="K1642" i="992" s="1"/>
  <c r="K1641" i="992" s="1"/>
  <c r="K1640" i="992" s="1"/>
  <c r="I1643" i="992"/>
  <c r="I1642" i="992" s="1"/>
  <c r="I1641" i="992" s="1"/>
  <c r="I1640" i="992" s="1"/>
  <c r="K1636" i="992"/>
  <c r="J1636" i="992" s="1"/>
  <c r="J1635" i="992" s="1"/>
  <c r="J1634" i="992" s="1"/>
  <c r="J1633" i="992" s="1"/>
  <c r="I1635" i="992"/>
  <c r="I1634" i="992" s="1"/>
  <c r="I1633" i="992" s="1"/>
  <c r="K1632" i="992"/>
  <c r="K1631" i="992" s="1"/>
  <c r="K1630" i="992" s="1"/>
  <c r="I1631" i="992"/>
  <c r="I1630" i="992" s="1"/>
  <c r="J1629" i="992"/>
  <c r="J1628" i="992" s="1"/>
  <c r="J1627" i="992" s="1"/>
  <c r="K1628" i="992"/>
  <c r="K1627" i="992" s="1"/>
  <c r="I1628" i="992"/>
  <c r="I1627" i="992" s="1"/>
  <c r="J1626" i="992"/>
  <c r="J1625" i="992" s="1"/>
  <c r="K1625" i="992"/>
  <c r="I1625" i="992"/>
  <c r="J1624" i="992"/>
  <c r="J1623" i="992" s="1"/>
  <c r="K1623" i="992"/>
  <c r="I1623" i="992"/>
  <c r="J1621" i="992"/>
  <c r="J1620" i="992"/>
  <c r="K1619" i="992"/>
  <c r="I1619" i="992"/>
  <c r="J1618" i="992"/>
  <c r="J1617" i="992" s="1"/>
  <c r="K1617" i="992"/>
  <c r="I1617" i="992"/>
  <c r="J1616" i="992"/>
  <c r="J1615" i="992" s="1"/>
  <c r="K1615" i="992"/>
  <c r="I1615" i="992"/>
  <c r="J1613" i="992"/>
  <c r="J1612" i="992" s="1"/>
  <c r="J1611" i="992" s="1"/>
  <c r="K1612" i="992"/>
  <c r="K1611" i="992" s="1"/>
  <c r="I1612" i="992"/>
  <c r="I1611" i="992" s="1"/>
  <c r="J1610" i="992"/>
  <c r="J1609" i="992" s="1"/>
  <c r="J1608" i="992" s="1"/>
  <c r="K1609" i="992"/>
  <c r="K1608" i="992" s="1"/>
  <c r="I1609" i="992"/>
  <c r="I1608" i="992" s="1"/>
  <c r="K1606" i="992"/>
  <c r="J1606" i="992"/>
  <c r="I1606" i="992"/>
  <c r="J1605" i="992"/>
  <c r="J1604" i="992" s="1"/>
  <c r="K1604" i="992"/>
  <c r="K1603" i="992" s="1"/>
  <c r="I1604" i="992"/>
  <c r="J1601" i="992"/>
  <c r="J1600" i="992" s="1"/>
  <c r="J1599" i="992" s="1"/>
  <c r="K1600" i="992"/>
  <c r="K1599" i="992" s="1"/>
  <c r="I1600" i="992"/>
  <c r="I1599" i="992" s="1"/>
  <c r="J1598" i="992"/>
  <c r="J1597" i="992" s="1"/>
  <c r="K1597" i="992"/>
  <c r="I1597" i="992"/>
  <c r="J1596" i="992"/>
  <c r="J1595" i="992" s="1"/>
  <c r="K1595" i="992"/>
  <c r="I1595" i="992"/>
  <c r="J1594" i="992"/>
  <c r="J1593" i="992"/>
  <c r="K1592" i="992"/>
  <c r="I1592" i="992"/>
  <c r="J1590" i="992"/>
  <c r="J1589" i="992" s="1"/>
  <c r="K1589" i="992"/>
  <c r="I1589" i="992"/>
  <c r="J1588" i="992"/>
  <c r="M1587" i="992"/>
  <c r="L1587" i="992"/>
  <c r="K1587" i="992"/>
  <c r="J1587" i="992"/>
  <c r="I1587" i="992"/>
  <c r="J1586" i="992"/>
  <c r="J1585" i="992" s="1"/>
  <c r="K1585" i="992"/>
  <c r="I1585" i="992"/>
  <c r="J1584" i="992"/>
  <c r="J1583" i="992"/>
  <c r="K1582" i="992"/>
  <c r="I1582" i="992"/>
  <c r="J1579" i="992"/>
  <c r="J1578" i="992" s="1"/>
  <c r="J1577" i="992" s="1"/>
  <c r="K1578" i="992"/>
  <c r="K1577" i="992" s="1"/>
  <c r="I1578" i="992"/>
  <c r="I1577" i="992" s="1"/>
  <c r="K1576" i="992"/>
  <c r="K1575" i="992" s="1"/>
  <c r="K1574" i="992" s="1"/>
  <c r="I1575" i="992"/>
  <c r="I1574" i="992" s="1"/>
  <c r="J1573" i="992"/>
  <c r="J1572" i="992" s="1"/>
  <c r="K1572" i="992"/>
  <c r="I1572" i="992"/>
  <c r="K1570" i="992"/>
  <c r="J1570" i="992"/>
  <c r="I1570" i="992"/>
  <c r="J1569" i="992"/>
  <c r="J1568" i="992" s="1"/>
  <c r="K1568" i="992"/>
  <c r="I1568" i="992"/>
  <c r="J1567" i="992"/>
  <c r="J1566" i="992" s="1"/>
  <c r="K1566" i="992"/>
  <c r="I1566" i="992"/>
  <c r="K1562" i="992"/>
  <c r="K1561" i="992" s="1"/>
  <c r="K1560" i="992" s="1"/>
  <c r="K1559" i="992" s="1"/>
  <c r="I1561" i="992"/>
  <c r="I1560" i="992" s="1"/>
  <c r="I1559" i="992" s="1"/>
  <c r="K1558" i="992"/>
  <c r="K1557" i="992" s="1"/>
  <c r="K1556" i="992" s="1"/>
  <c r="I1557" i="992"/>
  <c r="I1556" i="992" s="1"/>
  <c r="M1556" i="992"/>
  <c r="L1556" i="992"/>
  <c r="K1554" i="992"/>
  <c r="K1553" i="992" s="1"/>
  <c r="J1554" i="992"/>
  <c r="J1553" i="992" s="1"/>
  <c r="I1554" i="992"/>
  <c r="I1553" i="992" s="1"/>
  <c r="K1552" i="992"/>
  <c r="J1552" i="992" s="1"/>
  <c r="J1551" i="992" s="1"/>
  <c r="J1550" i="992" s="1"/>
  <c r="I1551" i="992"/>
  <c r="I1550" i="992" s="1"/>
  <c r="J1544" i="992"/>
  <c r="J1543" i="992"/>
  <c r="K1542" i="992"/>
  <c r="K1541" i="992" s="1"/>
  <c r="K1540" i="992" s="1"/>
  <c r="K1539" i="992" s="1"/>
  <c r="I1542" i="992"/>
  <c r="I1541" i="992" s="1"/>
  <c r="I1540" i="992" s="1"/>
  <c r="I1539" i="992" s="1"/>
  <c r="M1539" i="992"/>
  <c r="L1539" i="992"/>
  <c r="J1538" i="992"/>
  <c r="J1537" i="992" s="1"/>
  <c r="J1536" i="992" s="1"/>
  <c r="J1535" i="992" s="1"/>
  <c r="K1537" i="992"/>
  <c r="K1536" i="992" s="1"/>
  <c r="K1535" i="992" s="1"/>
  <c r="I1537" i="992"/>
  <c r="I1536" i="992" s="1"/>
  <c r="I1535" i="992" s="1"/>
  <c r="J1534" i="992"/>
  <c r="J1533" i="992" s="1"/>
  <c r="J1532" i="992" s="1"/>
  <c r="K1533" i="992"/>
  <c r="K1532" i="992" s="1"/>
  <c r="K1531" i="992" s="1"/>
  <c r="I1533" i="992"/>
  <c r="I1532" i="992" s="1"/>
  <c r="I1531" i="992" s="1"/>
  <c r="M1530" i="992"/>
  <c r="L1530" i="992"/>
  <c r="J1525" i="992"/>
  <c r="J1524" i="992" s="1"/>
  <c r="J1523" i="992" s="1"/>
  <c r="J1522" i="992" s="1"/>
  <c r="K1524" i="992"/>
  <c r="K1523" i="992" s="1"/>
  <c r="K1522" i="992" s="1"/>
  <c r="I1524" i="992"/>
  <c r="I1523" i="992" s="1"/>
  <c r="I1522" i="992" s="1"/>
  <c r="J1521" i="992"/>
  <c r="J1520" i="992" s="1"/>
  <c r="J1519" i="992" s="1"/>
  <c r="J1518" i="992" s="1"/>
  <c r="K1520" i="992"/>
  <c r="K1519" i="992" s="1"/>
  <c r="K1518" i="992" s="1"/>
  <c r="I1520" i="992"/>
  <c r="I1519" i="992" s="1"/>
  <c r="I1518" i="992" s="1"/>
  <c r="J1517" i="992"/>
  <c r="J1516" i="992" s="1"/>
  <c r="K1516" i="992"/>
  <c r="I1516" i="992"/>
  <c r="J1515" i="992"/>
  <c r="J1514" i="992" s="1"/>
  <c r="K1514" i="992"/>
  <c r="I1514" i="992"/>
  <c r="J1512" i="992"/>
  <c r="J1511" i="992" s="1"/>
  <c r="K1511" i="992"/>
  <c r="I1511" i="992"/>
  <c r="J1510" i="992"/>
  <c r="J1509" i="992" s="1"/>
  <c r="K1509" i="992"/>
  <c r="I1509" i="992"/>
  <c r="J1507" i="992"/>
  <c r="J1506" i="992" s="1"/>
  <c r="K1506" i="992"/>
  <c r="I1506" i="992"/>
  <c r="J1505" i="992"/>
  <c r="J1504" i="992" s="1"/>
  <c r="K1504" i="992"/>
  <c r="I1504" i="992"/>
  <c r="J1503" i="992"/>
  <c r="J1502" i="992" s="1"/>
  <c r="K1502" i="992"/>
  <c r="I1502" i="992"/>
  <c r="J1501" i="992"/>
  <c r="J1500" i="992" s="1"/>
  <c r="K1500" i="992"/>
  <c r="K1499" i="992" s="1"/>
  <c r="I1500" i="992"/>
  <c r="J1496" i="992"/>
  <c r="J1495" i="992" s="1"/>
  <c r="J1494" i="992" s="1"/>
  <c r="J1493" i="992" s="1"/>
  <c r="K1495" i="992"/>
  <c r="K1494" i="992" s="1"/>
  <c r="K1493" i="992" s="1"/>
  <c r="I1495" i="992"/>
  <c r="I1494" i="992" s="1"/>
  <c r="I1493" i="992" s="1"/>
  <c r="J1492" i="992"/>
  <c r="J1491" i="992" s="1"/>
  <c r="K1491" i="992"/>
  <c r="I1491" i="992"/>
  <c r="J1490" i="992"/>
  <c r="J1489" i="992" s="1"/>
  <c r="K1489" i="992"/>
  <c r="I1489" i="992"/>
  <c r="J1486" i="992"/>
  <c r="J1485" i="992" s="1"/>
  <c r="J1484" i="992" s="1"/>
  <c r="K1485" i="992"/>
  <c r="K1484" i="992" s="1"/>
  <c r="I1485" i="992"/>
  <c r="I1484" i="992" s="1"/>
  <c r="J1483" i="992"/>
  <c r="J1482" i="992" s="1"/>
  <c r="J1481" i="992" s="1"/>
  <c r="K1482" i="992"/>
  <c r="K1481" i="992" s="1"/>
  <c r="I1482" i="992"/>
  <c r="I1481" i="992" s="1"/>
  <c r="J1475" i="992"/>
  <c r="J1474" i="992"/>
  <c r="J1473" i="992" s="1"/>
  <c r="J1472" i="992" s="1"/>
  <c r="J1471" i="992" s="1"/>
  <c r="J1470" i="992" s="1"/>
  <c r="K1473" i="992"/>
  <c r="K1472" i="992" s="1"/>
  <c r="K1471" i="992" s="1"/>
  <c r="K1470" i="992" s="1"/>
  <c r="I1473" i="992"/>
  <c r="I1472" i="992" s="1"/>
  <c r="I1471" i="992" s="1"/>
  <c r="I1470" i="992" s="1"/>
  <c r="J1467" i="992"/>
  <c r="M1466" i="992"/>
  <c r="M1465" i="992" s="1"/>
  <c r="L1466" i="992"/>
  <c r="L1465" i="992" s="1"/>
  <c r="K1466" i="992"/>
  <c r="K1465" i="992" s="1"/>
  <c r="J1466" i="992"/>
  <c r="J1465" i="992" s="1"/>
  <c r="I1466" i="992"/>
  <c r="I1465" i="992" s="1"/>
  <c r="J1464" i="992"/>
  <c r="M1463" i="992"/>
  <c r="M1462" i="992" s="1"/>
  <c r="L1463" i="992"/>
  <c r="K1463" i="992"/>
  <c r="K1462" i="992" s="1"/>
  <c r="J1463" i="992"/>
  <c r="J1462" i="992" s="1"/>
  <c r="I1463" i="992"/>
  <c r="I1462" i="992" s="1"/>
  <c r="L1462" i="992"/>
  <c r="J1461" i="992"/>
  <c r="M1460" i="992"/>
  <c r="M1459" i="992" s="1"/>
  <c r="L1460" i="992"/>
  <c r="L1459" i="992" s="1"/>
  <c r="L1449" i="992" s="1"/>
  <c r="K1460" i="992"/>
  <c r="J1460" i="992"/>
  <c r="J1459" i="992" s="1"/>
  <c r="I1460" i="992"/>
  <c r="I1459" i="992" s="1"/>
  <c r="K1459" i="992"/>
  <c r="K1458" i="992"/>
  <c r="K1456" i="992"/>
  <c r="K1454" i="992"/>
  <c r="K1452" i="992"/>
  <c r="K1451" i="992" s="1"/>
  <c r="K1450" i="992" s="1"/>
  <c r="M1451" i="992"/>
  <c r="L1451" i="992"/>
  <c r="L1450" i="992" s="1"/>
  <c r="J1451" i="992"/>
  <c r="J1450" i="992" s="1"/>
  <c r="I1451" i="992"/>
  <c r="I1450" i="992" s="1"/>
  <c r="M1450" i="992"/>
  <c r="J1447" i="992"/>
  <c r="M1446" i="992"/>
  <c r="L1446" i="992"/>
  <c r="K1446" i="992"/>
  <c r="J1446" i="992"/>
  <c r="I1446" i="992"/>
  <c r="J1445" i="992"/>
  <c r="J1444" i="992"/>
  <c r="M1443" i="992"/>
  <c r="L1443" i="992"/>
  <c r="K1443" i="992"/>
  <c r="I1443" i="992"/>
  <c r="J1441" i="992"/>
  <c r="M1440" i="992"/>
  <c r="M1437" i="992" s="1"/>
  <c r="L1440" i="992"/>
  <c r="K1440" i="992"/>
  <c r="J1440" i="992"/>
  <c r="I1440" i="992"/>
  <c r="K1439" i="992"/>
  <c r="K1438" i="992" s="1"/>
  <c r="M1438" i="992"/>
  <c r="L1438" i="992"/>
  <c r="J1438" i="992"/>
  <c r="J1437" i="992" s="1"/>
  <c r="I1438" i="992"/>
  <c r="J1436" i="992"/>
  <c r="M1435" i="992"/>
  <c r="L1435" i="992"/>
  <c r="K1435" i="992"/>
  <c r="J1435" i="992"/>
  <c r="I1435" i="992"/>
  <c r="J1434" i="992"/>
  <c r="M1433" i="992"/>
  <c r="L1433" i="992"/>
  <c r="K1433" i="992"/>
  <c r="J1433" i="992"/>
  <c r="I1433" i="992"/>
  <c r="K1432" i="992"/>
  <c r="J1430" i="992"/>
  <c r="J1429" i="992"/>
  <c r="M1428" i="992"/>
  <c r="M1427" i="992" s="1"/>
  <c r="L1428" i="992"/>
  <c r="K1428" i="992"/>
  <c r="I1428" i="992"/>
  <c r="L1427" i="992"/>
  <c r="K1425" i="992"/>
  <c r="K1423" i="992"/>
  <c r="K1422" i="992"/>
  <c r="K1421" i="992" s="1"/>
  <c r="K1420" i="992" s="1"/>
  <c r="M1421" i="992"/>
  <c r="M1420" i="992" s="1"/>
  <c r="L1421" i="992"/>
  <c r="J1421" i="992"/>
  <c r="J1420" i="992" s="1"/>
  <c r="I1421" i="992"/>
  <c r="I1420" i="992" s="1"/>
  <c r="L1420" i="992"/>
  <c r="K1419" i="992"/>
  <c r="K1417" i="992"/>
  <c r="K1415" i="992"/>
  <c r="K1413" i="992"/>
  <c r="K1412" i="992" s="1"/>
  <c r="K1411" i="992" s="1"/>
  <c r="M1412" i="992"/>
  <c r="M1411" i="992" s="1"/>
  <c r="L1412" i="992"/>
  <c r="L1411" i="992" s="1"/>
  <c r="J1412" i="992"/>
  <c r="J1411" i="992" s="1"/>
  <c r="I1412" i="992"/>
  <c r="I1411" i="992" s="1"/>
  <c r="J1408" i="992"/>
  <c r="M1407" i="992"/>
  <c r="M1406" i="992" s="1"/>
  <c r="L1407" i="992"/>
  <c r="L1406" i="992" s="1"/>
  <c r="K1407" i="992"/>
  <c r="K1406" i="992" s="1"/>
  <c r="J1407" i="992"/>
  <c r="J1406" i="992" s="1"/>
  <c r="I1407" i="992"/>
  <c r="I1406" i="992" s="1"/>
  <c r="J1405" i="992"/>
  <c r="M1404" i="992"/>
  <c r="L1404" i="992"/>
  <c r="K1404" i="992"/>
  <c r="J1404" i="992"/>
  <c r="I1404" i="992"/>
  <c r="K1403" i="992"/>
  <c r="J1403" i="992" s="1"/>
  <c r="J1402" i="992" s="1"/>
  <c r="M1402" i="992"/>
  <c r="L1402" i="992"/>
  <c r="L1401" i="992" s="1"/>
  <c r="L1400" i="992" s="1"/>
  <c r="K1402" i="992"/>
  <c r="I1402" i="992"/>
  <c r="M1401" i="992"/>
  <c r="K1387" i="992"/>
  <c r="J1387" i="992" s="1"/>
  <c r="J1386" i="992" s="1"/>
  <c r="J1385" i="992" s="1"/>
  <c r="M1386" i="992"/>
  <c r="M1385" i="992" s="1"/>
  <c r="L1386" i="992"/>
  <c r="I1386" i="992"/>
  <c r="I1385" i="992" s="1"/>
  <c r="L1385" i="992"/>
  <c r="J1384" i="992"/>
  <c r="M1383" i="992"/>
  <c r="M1382" i="992" s="1"/>
  <c r="L1383" i="992"/>
  <c r="L1382" i="992" s="1"/>
  <c r="K1383" i="992"/>
  <c r="K1382" i="992" s="1"/>
  <c r="J1383" i="992"/>
  <c r="J1382" i="992" s="1"/>
  <c r="I1383" i="992"/>
  <c r="I1382" i="992" s="1"/>
  <c r="K1381" i="992"/>
  <c r="J1381" i="992" s="1"/>
  <c r="J1380" i="992" s="1"/>
  <c r="J1379" i="992" s="1"/>
  <c r="J1378" i="992" s="1"/>
  <c r="M1380" i="992"/>
  <c r="M1379" i="992" s="1"/>
  <c r="L1380" i="992"/>
  <c r="L1379" i="992" s="1"/>
  <c r="I1380" i="992"/>
  <c r="I1379" i="992" s="1"/>
  <c r="I1378" i="992" s="1"/>
  <c r="J1373" i="992"/>
  <c r="J1372" i="992" s="1"/>
  <c r="J1371" i="992" s="1"/>
  <c r="K1372" i="992"/>
  <c r="K1371" i="992" s="1"/>
  <c r="I1372" i="992"/>
  <c r="I1371" i="992" s="1"/>
  <c r="J1368" i="992"/>
  <c r="J1367" i="992" s="1"/>
  <c r="J1366" i="992" s="1"/>
  <c r="K1367" i="992"/>
  <c r="K1366" i="992" s="1"/>
  <c r="I1367" i="992"/>
  <c r="I1366" i="992" s="1"/>
  <c r="J1362" i="992"/>
  <c r="J1361" i="992" s="1"/>
  <c r="J1360" i="992" s="1"/>
  <c r="K1361" i="992"/>
  <c r="K1360" i="992" s="1"/>
  <c r="I1361" i="992"/>
  <c r="I1360" i="992" s="1"/>
  <c r="J1353" i="992"/>
  <c r="K1352" i="992"/>
  <c r="K1351" i="992" s="1"/>
  <c r="J1352" i="992"/>
  <c r="J1351" i="992" s="1"/>
  <c r="I1352" i="992"/>
  <c r="I1351" i="992" s="1"/>
  <c r="J1349" i="992"/>
  <c r="J1348" i="992" s="1"/>
  <c r="K1348" i="992"/>
  <c r="I1348" i="992"/>
  <c r="J1347" i="992"/>
  <c r="J1346" i="992" s="1"/>
  <c r="K1346" i="992"/>
  <c r="I1346" i="992"/>
  <c r="J1345" i="992"/>
  <c r="J1344" i="992"/>
  <c r="K1343" i="992"/>
  <c r="I1343" i="992"/>
  <c r="J1341" i="992"/>
  <c r="J1340" i="992" s="1"/>
  <c r="K1340" i="992"/>
  <c r="I1340" i="992"/>
  <c r="J1339" i="992"/>
  <c r="J1338" i="992" s="1"/>
  <c r="K1338" i="992"/>
  <c r="K1337" i="992" s="1"/>
  <c r="I1338" i="992"/>
  <c r="J1336" i="992"/>
  <c r="K1335" i="992"/>
  <c r="J1335" i="992"/>
  <c r="I1335" i="992"/>
  <c r="J1334" i="992"/>
  <c r="J1333" i="992" s="1"/>
  <c r="K1333" i="992"/>
  <c r="I1333" i="992"/>
  <c r="J1330" i="992"/>
  <c r="J1329" i="992"/>
  <c r="J1328" i="992" s="1"/>
  <c r="K1328" i="992"/>
  <c r="K1327" i="992" s="1"/>
  <c r="I1328" i="992"/>
  <c r="I1327" i="992" s="1"/>
  <c r="J1322" i="992"/>
  <c r="K1321" i="992"/>
  <c r="K1320" i="992" s="1"/>
  <c r="J1321" i="992"/>
  <c r="J1320" i="992" s="1"/>
  <c r="I1321" i="992"/>
  <c r="I1320" i="992" s="1"/>
  <c r="J1313" i="992"/>
  <c r="K1312" i="992"/>
  <c r="K1311" i="992" s="1"/>
  <c r="K1310" i="992" s="1"/>
  <c r="J1312" i="992"/>
  <c r="J1311" i="992" s="1"/>
  <c r="I1312" i="992"/>
  <c r="I1311" i="992" s="1"/>
  <c r="J1308" i="992"/>
  <c r="J1307" i="992" s="1"/>
  <c r="J1306" i="992" s="1"/>
  <c r="K1307" i="992"/>
  <c r="K1306" i="992" s="1"/>
  <c r="I1307" i="992"/>
  <c r="I1306" i="992" s="1"/>
  <c r="J1305" i="992"/>
  <c r="J1304" i="992" s="1"/>
  <c r="K1304" i="992"/>
  <c r="I1304" i="992"/>
  <c r="J1303" i="992"/>
  <c r="J1302" i="992" s="1"/>
  <c r="K1302" i="992"/>
  <c r="K1301" i="992" s="1"/>
  <c r="I1302" i="992"/>
  <c r="K1298" i="992"/>
  <c r="J1298" i="992"/>
  <c r="I1298" i="992"/>
  <c r="J1297" i="992"/>
  <c r="J1296" i="992" s="1"/>
  <c r="J1295" i="992" s="1"/>
  <c r="K1296" i="992"/>
  <c r="K1295" i="992" s="1"/>
  <c r="I1296" i="992"/>
  <c r="I1295" i="992" s="1"/>
  <c r="J1294" i="992"/>
  <c r="J1293" i="992" s="1"/>
  <c r="J1292" i="992" s="1"/>
  <c r="K1293" i="992"/>
  <c r="K1292" i="992" s="1"/>
  <c r="I1293" i="992"/>
  <c r="I1292" i="992" s="1"/>
  <c r="J1286" i="992"/>
  <c r="J1285" i="992" s="1"/>
  <c r="J1284" i="992" s="1"/>
  <c r="J1283" i="992" s="1"/>
  <c r="K1285" i="992"/>
  <c r="K1284" i="992" s="1"/>
  <c r="K1283" i="992" s="1"/>
  <c r="I1285" i="992"/>
  <c r="I1284" i="992" s="1"/>
  <c r="I1283" i="992" s="1"/>
  <c r="J1282" i="992"/>
  <c r="J1281" i="992" s="1"/>
  <c r="J1280" i="992" s="1"/>
  <c r="K1281" i="992"/>
  <c r="K1280" i="992" s="1"/>
  <c r="I1281" i="992"/>
  <c r="I1280" i="992" s="1"/>
  <c r="J1279" i="992"/>
  <c r="M1278" i="992"/>
  <c r="M1277" i="992" s="1"/>
  <c r="L1278" i="992"/>
  <c r="K1278" i="992"/>
  <c r="K1277" i="992" s="1"/>
  <c r="J1278" i="992"/>
  <c r="J1277" i="992" s="1"/>
  <c r="I1278" i="992"/>
  <c r="I1277" i="992" s="1"/>
  <c r="L1277" i="992"/>
  <c r="J1274" i="992"/>
  <c r="M1273" i="992"/>
  <c r="M1272" i="992" s="1"/>
  <c r="L1273" i="992"/>
  <c r="L1272" i="992" s="1"/>
  <c r="K1273" i="992"/>
  <c r="J1273" i="992"/>
  <c r="J1272" i="992" s="1"/>
  <c r="I1273" i="992"/>
  <c r="I1272" i="992" s="1"/>
  <c r="K1272" i="992"/>
  <c r="J1268" i="992"/>
  <c r="J1267" i="992" s="1"/>
  <c r="K1267" i="992"/>
  <c r="I1267" i="992"/>
  <c r="J1266" i="992"/>
  <c r="M1265" i="992"/>
  <c r="M1264" i="992" s="1"/>
  <c r="L1265" i="992"/>
  <c r="K1265" i="992"/>
  <c r="J1265" i="992"/>
  <c r="J1264" i="992" s="1"/>
  <c r="I1265" i="992"/>
  <c r="L1264" i="992"/>
  <c r="J1261" i="992"/>
  <c r="J1260" i="992" s="1"/>
  <c r="K1260" i="992"/>
  <c r="I1260" i="992"/>
  <c r="J1257" i="992"/>
  <c r="M1256" i="992"/>
  <c r="M1255" i="992" s="1"/>
  <c r="L1256" i="992"/>
  <c r="L1255" i="992" s="1"/>
  <c r="K1256" i="992"/>
  <c r="J1256" i="992"/>
  <c r="I1256" i="992"/>
  <c r="J1253" i="992"/>
  <c r="M1252" i="992"/>
  <c r="L1252" i="992"/>
  <c r="K1252" i="992"/>
  <c r="J1252" i="992"/>
  <c r="I1252" i="992"/>
  <c r="J1251" i="992"/>
  <c r="M1250" i="992"/>
  <c r="L1250" i="992"/>
  <c r="K1250" i="992"/>
  <c r="J1250" i="992"/>
  <c r="I1250" i="992"/>
  <c r="J1249" i="992"/>
  <c r="J1248" i="992"/>
  <c r="M1247" i="992"/>
  <c r="L1247" i="992"/>
  <c r="K1247" i="992"/>
  <c r="I1247" i="992"/>
  <c r="I1246" i="992" s="1"/>
  <c r="J1245" i="992"/>
  <c r="M1244" i="992"/>
  <c r="L1244" i="992"/>
  <c r="K1244" i="992"/>
  <c r="J1244" i="992"/>
  <c r="I1244" i="992"/>
  <c r="J1243" i="992"/>
  <c r="M1242" i="992"/>
  <c r="L1242" i="992"/>
  <c r="K1242" i="992"/>
  <c r="J1242" i="992"/>
  <c r="J1241" i="992" s="1"/>
  <c r="I1242" i="992"/>
  <c r="J1240" i="992"/>
  <c r="M1239" i="992"/>
  <c r="L1239" i="992"/>
  <c r="K1239" i="992"/>
  <c r="J1239" i="992"/>
  <c r="I1239" i="992"/>
  <c r="J1238" i="992"/>
  <c r="M1237" i="992"/>
  <c r="L1237" i="992"/>
  <c r="K1237" i="992"/>
  <c r="J1237" i="992"/>
  <c r="I1237" i="992"/>
  <c r="J1234" i="992"/>
  <c r="J1233" i="992"/>
  <c r="M1232" i="992"/>
  <c r="M1231" i="992" s="1"/>
  <c r="L1232" i="992"/>
  <c r="K1232" i="992"/>
  <c r="I1232" i="992"/>
  <c r="I1231" i="992" s="1"/>
  <c r="J1226" i="992"/>
  <c r="M1225" i="992"/>
  <c r="L1225" i="992"/>
  <c r="L1224" i="992" s="1"/>
  <c r="K1225" i="992"/>
  <c r="J1225" i="992"/>
  <c r="J1224" i="992" s="1"/>
  <c r="I1225" i="992"/>
  <c r="I1224" i="992" s="1"/>
  <c r="M1224" i="992"/>
  <c r="K1224" i="992"/>
  <c r="J1219" i="992"/>
  <c r="J1218" i="992" s="1"/>
  <c r="K1218" i="992"/>
  <c r="I1218" i="992"/>
  <c r="J1217" i="992"/>
  <c r="M1216" i="992"/>
  <c r="M1215" i="992" s="1"/>
  <c r="L1216" i="992"/>
  <c r="K1216" i="992"/>
  <c r="J1216" i="992"/>
  <c r="I1216" i="992"/>
  <c r="L1215" i="992"/>
  <c r="L1214" i="992" s="1"/>
  <c r="J1212" i="992"/>
  <c r="M1211" i="992"/>
  <c r="M1210" i="992" s="1"/>
  <c r="L1211" i="992"/>
  <c r="L1210" i="992" s="1"/>
  <c r="K1211" i="992"/>
  <c r="K1210" i="992" s="1"/>
  <c r="J1211" i="992"/>
  <c r="J1210" i="992" s="1"/>
  <c r="I1211" i="992"/>
  <c r="I1210" i="992" s="1"/>
  <c r="J1209" i="992"/>
  <c r="M1208" i="992"/>
  <c r="L1208" i="992"/>
  <c r="K1208" i="992"/>
  <c r="J1208" i="992"/>
  <c r="I1208" i="992"/>
  <c r="J1207" i="992"/>
  <c r="M1206" i="992"/>
  <c r="L1206" i="992"/>
  <c r="K1206" i="992"/>
  <c r="J1206" i="992"/>
  <c r="I1206" i="992"/>
  <c r="L1205" i="992"/>
  <c r="K1202" i="992"/>
  <c r="J1202" i="992"/>
  <c r="I1202" i="992"/>
  <c r="J1201" i="992"/>
  <c r="M1200" i="992"/>
  <c r="M1199" i="992" s="1"/>
  <c r="L1200" i="992"/>
  <c r="L1199" i="992" s="1"/>
  <c r="K1200" i="992"/>
  <c r="K1199" i="992" s="1"/>
  <c r="J1200" i="992"/>
  <c r="J1199" i="992" s="1"/>
  <c r="I1200" i="992"/>
  <c r="I1199" i="992" s="1"/>
  <c r="J1198" i="992"/>
  <c r="M1197" i="992"/>
  <c r="M1196" i="992" s="1"/>
  <c r="L1197" i="992"/>
  <c r="K1197" i="992"/>
  <c r="K1196" i="992" s="1"/>
  <c r="J1197" i="992"/>
  <c r="J1196" i="992" s="1"/>
  <c r="I1197" i="992"/>
  <c r="I1196" i="992" s="1"/>
  <c r="L1196" i="992"/>
  <c r="L1195" i="992" s="1"/>
  <c r="J1170" i="992"/>
  <c r="M1165" i="992"/>
  <c r="L1165" i="992"/>
  <c r="K1165" i="992"/>
  <c r="J1165" i="992"/>
  <c r="I1165" i="992"/>
  <c r="J1164" i="992"/>
  <c r="M1163" i="992"/>
  <c r="L1163" i="992"/>
  <c r="K1163" i="992"/>
  <c r="J1163" i="992"/>
  <c r="J1158" i="992" s="1"/>
  <c r="I1163" i="992"/>
  <c r="I1158" i="992" s="1"/>
  <c r="J1157" i="992"/>
  <c r="M1156" i="992"/>
  <c r="M1155" i="992" s="1"/>
  <c r="L1156" i="992"/>
  <c r="L1155" i="992" s="1"/>
  <c r="K1156" i="992"/>
  <c r="K1155" i="992" s="1"/>
  <c r="J1156" i="992"/>
  <c r="J1155" i="992" s="1"/>
  <c r="I1156" i="992"/>
  <c r="I1155" i="992" s="1"/>
  <c r="K1149" i="992"/>
  <c r="J1149" i="992" s="1"/>
  <c r="J1148" i="992" s="1"/>
  <c r="J1147" i="992" s="1"/>
  <c r="M1148" i="992"/>
  <c r="L1148" i="992"/>
  <c r="L1147" i="992" s="1"/>
  <c r="I1148" i="992"/>
  <c r="I1147" i="992" s="1"/>
  <c r="M1147" i="992"/>
  <c r="J1141" i="992"/>
  <c r="J1140" i="992"/>
  <c r="M1139" i="992"/>
  <c r="L1139" i="992"/>
  <c r="K1139" i="992"/>
  <c r="I1139" i="992"/>
  <c r="J1138" i="992"/>
  <c r="M1137" i="992"/>
  <c r="L1137" i="992"/>
  <c r="K1137" i="992"/>
  <c r="J1137" i="992"/>
  <c r="I1137" i="992"/>
  <c r="J1136" i="992"/>
  <c r="M1135" i="992"/>
  <c r="L1135" i="992"/>
  <c r="K1135" i="992"/>
  <c r="J1135" i="992"/>
  <c r="I1135" i="992"/>
  <c r="I1134" i="992" s="1"/>
  <c r="J1133" i="992"/>
  <c r="J1132" i="992" s="1"/>
  <c r="J1131" i="992" s="1"/>
  <c r="K1132" i="992"/>
  <c r="K1131" i="992" s="1"/>
  <c r="I1132" i="992"/>
  <c r="I1131" i="992" s="1"/>
  <c r="M1131" i="992"/>
  <c r="L1131" i="992"/>
  <c r="J1124" i="992"/>
  <c r="M1123" i="992"/>
  <c r="M1122" i="992" s="1"/>
  <c r="L1123" i="992"/>
  <c r="L1122" i="992" s="1"/>
  <c r="K1123" i="992"/>
  <c r="J1123" i="992"/>
  <c r="J1122" i="992" s="1"/>
  <c r="I1123" i="992"/>
  <c r="I1122" i="992" s="1"/>
  <c r="K1122" i="992"/>
  <c r="J1120" i="992"/>
  <c r="J1119" i="992" s="1"/>
  <c r="K1119" i="992"/>
  <c r="I1119" i="992"/>
  <c r="J1118" i="992"/>
  <c r="M1117" i="992"/>
  <c r="L1117" i="992"/>
  <c r="K1117" i="992"/>
  <c r="J1117" i="992"/>
  <c r="I1117" i="992"/>
  <c r="J1116" i="992"/>
  <c r="J1115" i="992"/>
  <c r="M1114" i="992"/>
  <c r="M1113" i="992" s="1"/>
  <c r="L1114" i="992"/>
  <c r="K1114" i="992"/>
  <c r="I1114" i="992"/>
  <c r="L1113" i="992"/>
  <c r="J1112" i="992"/>
  <c r="M1111" i="992"/>
  <c r="L1111" i="992"/>
  <c r="K1111" i="992"/>
  <c r="J1111" i="992"/>
  <c r="I1111" i="992"/>
  <c r="J1110" i="992"/>
  <c r="M1109" i="992"/>
  <c r="L1109" i="992"/>
  <c r="K1109" i="992"/>
  <c r="J1109" i="992"/>
  <c r="I1109" i="992"/>
  <c r="J1107" i="992"/>
  <c r="J1106" i="992" s="1"/>
  <c r="K1106" i="992"/>
  <c r="I1106" i="992"/>
  <c r="J1105" i="992"/>
  <c r="M1104" i="992"/>
  <c r="L1104" i="992"/>
  <c r="K1104" i="992"/>
  <c r="J1104" i="992"/>
  <c r="I1104" i="992"/>
  <c r="J1101" i="992"/>
  <c r="J1099" i="992" s="1"/>
  <c r="J1098" i="992" s="1"/>
  <c r="J1100" i="992"/>
  <c r="M1099" i="992"/>
  <c r="L1099" i="992"/>
  <c r="K1099" i="992"/>
  <c r="I1099" i="992"/>
  <c r="I1098" i="992" s="1"/>
  <c r="M1098" i="992"/>
  <c r="J1093" i="992"/>
  <c r="M1092" i="992"/>
  <c r="M1091" i="992" s="1"/>
  <c r="L1092" i="992"/>
  <c r="L1091" i="992" s="1"/>
  <c r="K1092" i="992"/>
  <c r="K1091" i="992" s="1"/>
  <c r="J1092" i="992"/>
  <c r="J1091" i="992" s="1"/>
  <c r="I1092" i="992"/>
  <c r="I1091" i="992" s="1"/>
  <c r="J1079" i="992"/>
  <c r="M1078" i="992"/>
  <c r="M1077" i="992" s="1"/>
  <c r="L1078" i="992"/>
  <c r="K1078" i="992"/>
  <c r="K1077" i="992" s="1"/>
  <c r="J1078" i="992"/>
  <c r="J1077" i="992" s="1"/>
  <c r="J1076" i="992" s="1"/>
  <c r="I1078" i="992"/>
  <c r="I1077" i="992" s="1"/>
  <c r="L1077" i="992"/>
  <c r="J1069" i="992"/>
  <c r="M1068" i="992"/>
  <c r="M1067" i="992" s="1"/>
  <c r="M1066" i="992" s="1"/>
  <c r="L1068" i="992"/>
  <c r="L1067" i="992" s="1"/>
  <c r="L1066" i="992" s="1"/>
  <c r="K1068" i="992"/>
  <c r="J1068" i="992"/>
  <c r="J1067" i="992" s="1"/>
  <c r="J1066" i="992" s="1"/>
  <c r="I1068" i="992"/>
  <c r="I1067" i="992" s="1"/>
  <c r="I1066" i="992" s="1"/>
  <c r="K1067" i="992"/>
  <c r="K1066" i="992" s="1"/>
  <c r="K1065" i="992"/>
  <c r="K1064" i="992" s="1"/>
  <c r="J1064" i="992"/>
  <c r="I1064" i="992"/>
  <c r="K1063" i="992"/>
  <c r="K1062" i="992" s="1"/>
  <c r="J1062" i="992"/>
  <c r="I1062" i="992"/>
  <c r="K1061" i="992"/>
  <c r="K1060" i="992" s="1"/>
  <c r="J1060" i="992"/>
  <c r="I1060" i="992"/>
  <c r="K1059" i="992"/>
  <c r="K1058" i="992" s="1"/>
  <c r="J1058" i="992"/>
  <c r="I1058" i="992"/>
  <c r="K1057" i="992"/>
  <c r="K1056" i="992" s="1"/>
  <c r="J1056" i="992"/>
  <c r="I1056" i="992"/>
  <c r="J1053" i="992"/>
  <c r="M1052" i="992"/>
  <c r="L1052" i="992"/>
  <c r="L1051" i="992" s="1"/>
  <c r="K1052" i="992"/>
  <c r="J1052" i="992"/>
  <c r="J1051" i="992" s="1"/>
  <c r="I1052" i="992"/>
  <c r="I1051" i="992" s="1"/>
  <c r="M1051" i="992"/>
  <c r="K1051" i="992"/>
  <c r="J1050" i="992"/>
  <c r="M1049" i="992"/>
  <c r="M1048" i="992" s="1"/>
  <c r="L1049" i="992"/>
  <c r="K1049" i="992"/>
  <c r="K1048" i="992" s="1"/>
  <c r="J1049" i="992"/>
  <c r="J1048" i="992" s="1"/>
  <c r="I1049" i="992"/>
  <c r="I1048" i="992" s="1"/>
  <c r="L1048" i="992"/>
  <c r="J1047" i="992"/>
  <c r="M1046" i="992"/>
  <c r="M1045" i="992" s="1"/>
  <c r="L1046" i="992"/>
  <c r="L1045" i="992" s="1"/>
  <c r="K1046" i="992"/>
  <c r="K1045" i="992" s="1"/>
  <c r="J1046" i="992"/>
  <c r="J1045" i="992" s="1"/>
  <c r="I1046" i="992"/>
  <c r="I1045" i="992" s="1"/>
  <c r="J1013" i="992"/>
  <c r="J1012" i="992" s="1"/>
  <c r="J1011" i="992" s="1"/>
  <c r="J1010" i="992" s="1"/>
  <c r="J1009" i="992" s="1"/>
  <c r="K1012" i="992"/>
  <c r="K1011" i="992" s="1"/>
  <c r="K1010" i="992" s="1"/>
  <c r="K1009" i="992" s="1"/>
  <c r="I1012" i="992"/>
  <c r="I1011" i="992" s="1"/>
  <c r="I1010" i="992" s="1"/>
  <c r="I1009" i="992" s="1"/>
  <c r="J1008" i="992"/>
  <c r="J1007" i="992" s="1"/>
  <c r="J1006" i="992" s="1"/>
  <c r="J1005" i="992" s="1"/>
  <c r="J1004" i="992" s="1"/>
  <c r="K1007" i="992"/>
  <c r="K1006" i="992" s="1"/>
  <c r="K1005" i="992" s="1"/>
  <c r="K1004" i="992" s="1"/>
  <c r="I1007" i="992"/>
  <c r="I1006" i="992" s="1"/>
  <c r="I1005" i="992" s="1"/>
  <c r="I1004" i="992" s="1"/>
  <c r="K999" i="992"/>
  <c r="J999" i="992"/>
  <c r="I999" i="992"/>
  <c r="J998" i="992"/>
  <c r="M997" i="992"/>
  <c r="L997" i="992"/>
  <c r="K997" i="992"/>
  <c r="K996" i="992" s="1"/>
  <c r="J997" i="992"/>
  <c r="I997" i="992"/>
  <c r="I996" i="992"/>
  <c r="M994" i="992"/>
  <c r="L994" i="992"/>
  <c r="J993" i="992"/>
  <c r="J992" i="992" s="1"/>
  <c r="J991" i="992" s="1"/>
  <c r="J990" i="992" s="1"/>
  <c r="J989" i="992" s="1"/>
  <c r="K992" i="992"/>
  <c r="K991" i="992" s="1"/>
  <c r="K990" i="992" s="1"/>
  <c r="K989" i="992" s="1"/>
  <c r="I992" i="992"/>
  <c r="I991" i="992" s="1"/>
  <c r="I990" i="992" s="1"/>
  <c r="I989" i="992" s="1"/>
  <c r="M990" i="992"/>
  <c r="M989" i="992" s="1"/>
  <c r="M988" i="992" s="1"/>
  <c r="L990" i="992"/>
  <c r="L989" i="992" s="1"/>
  <c r="L988" i="992" s="1"/>
  <c r="J985" i="992"/>
  <c r="J984" i="992" s="1"/>
  <c r="J983" i="992" s="1"/>
  <c r="J982" i="992" s="1"/>
  <c r="J981" i="992" s="1"/>
  <c r="K984" i="992"/>
  <c r="K983" i="992" s="1"/>
  <c r="K982" i="992" s="1"/>
  <c r="K981" i="992" s="1"/>
  <c r="I984" i="992"/>
  <c r="I983" i="992" s="1"/>
  <c r="I982" i="992" s="1"/>
  <c r="I981" i="992" s="1"/>
  <c r="K980" i="992"/>
  <c r="I980" i="992"/>
  <c r="I979" i="992" s="1"/>
  <c r="I978" i="992" s="1"/>
  <c r="I977" i="992" s="1"/>
  <c r="I976" i="992" s="1"/>
  <c r="J973" i="992"/>
  <c r="J972" i="992" s="1"/>
  <c r="J967" i="992" s="1"/>
  <c r="K972" i="992"/>
  <c r="K967" i="992" s="1"/>
  <c r="I972" i="992"/>
  <c r="I967" i="992" s="1"/>
  <c r="J966" i="992"/>
  <c r="J965" i="992" s="1"/>
  <c r="J964" i="992" s="1"/>
  <c r="K965" i="992"/>
  <c r="K964" i="992" s="1"/>
  <c r="I965" i="992"/>
  <c r="I964" i="992" s="1"/>
  <c r="J959" i="992"/>
  <c r="J958" i="992" s="1"/>
  <c r="J957" i="992" s="1"/>
  <c r="K958" i="992"/>
  <c r="K957" i="992" s="1"/>
  <c r="I958" i="992"/>
  <c r="I957" i="992" s="1"/>
  <c r="J956" i="992"/>
  <c r="J955" i="992"/>
  <c r="J954" i="992" s="1"/>
  <c r="K954" i="992"/>
  <c r="I954" i="992"/>
  <c r="J953" i="992"/>
  <c r="J952" i="992" s="1"/>
  <c r="K952" i="992"/>
  <c r="I952" i="992"/>
  <c r="J951" i="992"/>
  <c r="J950" i="992" s="1"/>
  <c r="K950" i="992"/>
  <c r="I950" i="992"/>
  <c r="J948" i="992"/>
  <c r="J947" i="992" s="1"/>
  <c r="J946" i="992" s="1"/>
  <c r="K947" i="992"/>
  <c r="K946" i="992" s="1"/>
  <c r="I947" i="992"/>
  <c r="I946" i="992" s="1"/>
  <c r="J945" i="992"/>
  <c r="J944" i="992" s="1"/>
  <c r="J943" i="992" s="1"/>
  <c r="K944" i="992"/>
  <c r="K943" i="992" s="1"/>
  <c r="I944" i="992"/>
  <c r="I943" i="992" s="1"/>
  <c r="J942" i="992"/>
  <c r="J941" i="992" s="1"/>
  <c r="K941" i="992"/>
  <c r="I941" i="992"/>
  <c r="J940" i="992"/>
  <c r="J939" i="992" s="1"/>
  <c r="K939" i="992"/>
  <c r="I939" i="992"/>
  <c r="J938" i="992"/>
  <c r="J937" i="992" s="1"/>
  <c r="K937" i="992"/>
  <c r="I937" i="992"/>
  <c r="J936" i="992"/>
  <c r="J935" i="992" s="1"/>
  <c r="K935" i="992"/>
  <c r="I935" i="992"/>
  <c r="I934" i="992" s="1"/>
  <c r="J932" i="992"/>
  <c r="J931" i="992" s="1"/>
  <c r="K931" i="992"/>
  <c r="I931" i="992"/>
  <c r="J930" i="992"/>
  <c r="J929" i="992" s="1"/>
  <c r="K929" i="992"/>
  <c r="I929" i="992"/>
  <c r="J928" i="992"/>
  <c r="J927" i="992"/>
  <c r="J926" i="992" s="1"/>
  <c r="K926" i="992"/>
  <c r="K925" i="992" s="1"/>
  <c r="I926" i="992"/>
  <c r="I925" i="992" s="1"/>
  <c r="J924" i="992"/>
  <c r="J923" i="992" s="1"/>
  <c r="K923" i="992"/>
  <c r="I923" i="992"/>
  <c r="J922" i="992"/>
  <c r="J921" i="992" s="1"/>
  <c r="J920" i="992" s="1"/>
  <c r="K921" i="992"/>
  <c r="I921" i="992"/>
  <c r="I920" i="992" s="1"/>
  <c r="J919" i="992"/>
  <c r="J918" i="992" s="1"/>
  <c r="K918" i="992"/>
  <c r="I918" i="992"/>
  <c r="J917" i="992"/>
  <c r="J916" i="992" s="1"/>
  <c r="K916" i="992"/>
  <c r="I916" i="992"/>
  <c r="J915" i="992"/>
  <c r="J914" i="992" s="1"/>
  <c r="K914" i="992"/>
  <c r="I914" i="992"/>
  <c r="J913" i="992"/>
  <c r="J912" i="992"/>
  <c r="K911" i="992"/>
  <c r="K910" i="992" s="1"/>
  <c r="I911" i="992"/>
  <c r="I910" i="992" s="1"/>
  <c r="J905" i="992"/>
  <c r="J904" i="992" s="1"/>
  <c r="J903" i="992" s="1"/>
  <c r="K904" i="992"/>
  <c r="K903" i="992" s="1"/>
  <c r="I904" i="992"/>
  <c r="I903" i="992" s="1"/>
  <c r="J900" i="992"/>
  <c r="J899" i="992" s="1"/>
  <c r="J898" i="992" s="1"/>
  <c r="K899" i="992"/>
  <c r="K898" i="992" s="1"/>
  <c r="I899" i="992"/>
  <c r="I898" i="992" s="1"/>
  <c r="J897" i="992"/>
  <c r="J896" i="992" s="1"/>
  <c r="K896" i="992"/>
  <c r="I896" i="992"/>
  <c r="K895" i="992"/>
  <c r="I895" i="992"/>
  <c r="I894" i="992" s="1"/>
  <c r="J893" i="992"/>
  <c r="J892" i="992" s="1"/>
  <c r="K892" i="992"/>
  <c r="I892" i="992"/>
  <c r="J891" i="992"/>
  <c r="J890" i="992" s="1"/>
  <c r="K890" i="992"/>
  <c r="I890" i="992"/>
  <c r="J886" i="992"/>
  <c r="J885" i="992" s="1"/>
  <c r="J884" i="992" s="1"/>
  <c r="K885" i="992"/>
  <c r="K884" i="992" s="1"/>
  <c r="I885" i="992"/>
  <c r="I884" i="992" s="1"/>
  <c r="J883" i="992"/>
  <c r="J882" i="992" s="1"/>
  <c r="K882" i="992"/>
  <c r="I882" i="992"/>
  <c r="J881" i="992"/>
  <c r="J880" i="992" s="1"/>
  <c r="K880" i="992"/>
  <c r="I880" i="992"/>
  <c r="J865" i="992"/>
  <c r="J864" i="992" s="1"/>
  <c r="J863" i="992" s="1"/>
  <c r="K864" i="992"/>
  <c r="K863" i="992" s="1"/>
  <c r="I864" i="992"/>
  <c r="I863" i="992" s="1"/>
  <c r="J859" i="992"/>
  <c r="J858" i="992" s="1"/>
  <c r="J857" i="992" s="1"/>
  <c r="K858" i="992"/>
  <c r="K857" i="992" s="1"/>
  <c r="I858" i="992"/>
  <c r="I857" i="992" s="1"/>
  <c r="K851" i="992"/>
  <c r="K850" i="992" s="1"/>
  <c r="K849" i="992" s="1"/>
  <c r="K848" i="992" s="1"/>
  <c r="K847" i="992" s="1"/>
  <c r="J850" i="992"/>
  <c r="J849" i="992" s="1"/>
  <c r="J848" i="992" s="1"/>
  <c r="J847" i="992" s="1"/>
  <c r="I850" i="992"/>
  <c r="I849" i="992" s="1"/>
  <c r="I848" i="992" s="1"/>
  <c r="I847" i="992" s="1"/>
  <c r="J846" i="992"/>
  <c r="M845" i="992"/>
  <c r="M844" i="992" s="1"/>
  <c r="M843" i="992" s="1"/>
  <c r="M842" i="992" s="1"/>
  <c r="L845" i="992"/>
  <c r="L844" i="992" s="1"/>
  <c r="L843" i="992" s="1"/>
  <c r="L842" i="992" s="1"/>
  <c r="K845" i="992"/>
  <c r="K844" i="992" s="1"/>
  <c r="K843" i="992" s="1"/>
  <c r="K842" i="992" s="1"/>
  <c r="I845" i="992"/>
  <c r="J839" i="992"/>
  <c r="M838" i="992"/>
  <c r="M833" i="992" s="1"/>
  <c r="L838" i="992"/>
  <c r="L833" i="992" s="1"/>
  <c r="K838" i="992"/>
  <c r="J838" i="992"/>
  <c r="I838" i="992"/>
  <c r="J835" i="992"/>
  <c r="J834" i="992" s="1"/>
  <c r="K834" i="992"/>
  <c r="K833" i="992" s="1"/>
  <c r="I834" i="992"/>
  <c r="J832" i="992"/>
  <c r="M831" i="992"/>
  <c r="M830" i="992" s="1"/>
  <c r="L831" i="992"/>
  <c r="L830" i="992" s="1"/>
  <c r="K831" i="992"/>
  <c r="K830" i="992" s="1"/>
  <c r="J831" i="992"/>
  <c r="J830" i="992" s="1"/>
  <c r="I831" i="992"/>
  <c r="I830" i="992" s="1"/>
  <c r="J827" i="992"/>
  <c r="J826" i="992" s="1"/>
  <c r="K826" i="992"/>
  <c r="I826" i="992"/>
  <c r="J825" i="992"/>
  <c r="M824" i="992"/>
  <c r="M823" i="992" s="1"/>
  <c r="L824" i="992"/>
  <c r="K824" i="992"/>
  <c r="J824" i="992"/>
  <c r="I824" i="992"/>
  <c r="L823" i="992"/>
  <c r="J822" i="992"/>
  <c r="M820" i="992"/>
  <c r="L820" i="992"/>
  <c r="K820" i="992"/>
  <c r="J820" i="992"/>
  <c r="I820" i="992"/>
  <c r="J819" i="992"/>
  <c r="M818" i="992"/>
  <c r="L818" i="992"/>
  <c r="K818" i="992"/>
  <c r="J818" i="992"/>
  <c r="I818" i="992"/>
  <c r="J817" i="992"/>
  <c r="M816" i="992"/>
  <c r="L816" i="992"/>
  <c r="K816" i="992"/>
  <c r="J816" i="992"/>
  <c r="I816" i="992"/>
  <c r="K814" i="992"/>
  <c r="I814" i="992"/>
  <c r="M813" i="992"/>
  <c r="M812" i="992" s="1"/>
  <c r="L813" i="992"/>
  <c r="L812" i="992" s="1"/>
  <c r="K813" i="992"/>
  <c r="K812" i="992" s="1"/>
  <c r="I813" i="992"/>
  <c r="I812" i="992" s="1"/>
  <c r="J811" i="992"/>
  <c r="M810" i="992"/>
  <c r="M809" i="992" s="1"/>
  <c r="L810" i="992"/>
  <c r="L809" i="992" s="1"/>
  <c r="K810" i="992"/>
  <c r="K809" i="992" s="1"/>
  <c r="J810" i="992"/>
  <c r="J809" i="992" s="1"/>
  <c r="I810" i="992"/>
  <c r="I809" i="992" s="1"/>
  <c r="J806" i="992"/>
  <c r="M805" i="992"/>
  <c r="L805" i="992"/>
  <c r="K805" i="992"/>
  <c r="J805" i="992"/>
  <c r="I805" i="992"/>
  <c r="J804" i="992"/>
  <c r="M803" i="992"/>
  <c r="L803" i="992"/>
  <c r="K803" i="992"/>
  <c r="J803" i="992"/>
  <c r="I803" i="992"/>
  <c r="J802" i="992"/>
  <c r="M801" i="992"/>
  <c r="L801" i="992"/>
  <c r="K801" i="992"/>
  <c r="J801" i="992"/>
  <c r="I801" i="992"/>
  <c r="J798" i="992"/>
  <c r="J797" i="992" s="1"/>
  <c r="J796" i="992" s="1"/>
  <c r="K797" i="992"/>
  <c r="K796" i="992" s="1"/>
  <c r="I797" i="992"/>
  <c r="I796" i="992" s="1"/>
  <c r="J795" i="992"/>
  <c r="M794" i="992"/>
  <c r="L794" i="992"/>
  <c r="K794" i="992"/>
  <c r="J794" i="992"/>
  <c r="I794" i="992"/>
  <c r="J793" i="992"/>
  <c r="M792" i="992"/>
  <c r="L792" i="992"/>
  <c r="K792" i="992"/>
  <c r="J792" i="992"/>
  <c r="I792" i="992"/>
  <c r="J791" i="992"/>
  <c r="J790" i="992"/>
  <c r="M789" i="992"/>
  <c r="L789" i="992"/>
  <c r="K789" i="992"/>
  <c r="I789" i="992"/>
  <c r="K787" i="992"/>
  <c r="J787" i="992" s="1"/>
  <c r="J786" i="992" s="1"/>
  <c r="M786" i="992"/>
  <c r="L786" i="992"/>
  <c r="I786" i="992"/>
  <c r="K785" i="992"/>
  <c r="K784" i="992" s="1"/>
  <c r="M784" i="992"/>
  <c r="M783" i="992" s="1"/>
  <c r="L784" i="992"/>
  <c r="L783" i="992" s="1"/>
  <c r="J784" i="992"/>
  <c r="I784" i="992"/>
  <c r="J782" i="992"/>
  <c r="M781" i="992"/>
  <c r="L781" i="992"/>
  <c r="K781" i="992"/>
  <c r="J781" i="992"/>
  <c r="I781" i="992"/>
  <c r="J780" i="992"/>
  <c r="M779" i="992"/>
  <c r="L779" i="992"/>
  <c r="K779" i="992"/>
  <c r="J779" i="992"/>
  <c r="I779" i="992"/>
  <c r="J778" i="992"/>
  <c r="M777" i="992"/>
  <c r="L777" i="992"/>
  <c r="K777" i="992"/>
  <c r="J777" i="992"/>
  <c r="I777" i="992"/>
  <c r="J776" i="992"/>
  <c r="J775" i="992"/>
  <c r="M774" i="992"/>
  <c r="L774" i="992"/>
  <c r="K774" i="992"/>
  <c r="I774" i="992"/>
  <c r="J771" i="992"/>
  <c r="J770" i="992" s="1"/>
  <c r="K770" i="992"/>
  <c r="I770" i="992"/>
  <c r="J769" i="992"/>
  <c r="J768" i="992" s="1"/>
  <c r="K768" i="992"/>
  <c r="K767" i="992" s="1"/>
  <c r="I768" i="992"/>
  <c r="J758" i="992"/>
  <c r="M757" i="992"/>
  <c r="M756" i="992" s="1"/>
  <c r="L757" i="992"/>
  <c r="L756" i="992" s="1"/>
  <c r="K757" i="992"/>
  <c r="K756" i="992" s="1"/>
  <c r="J757" i="992"/>
  <c r="J756" i="992" s="1"/>
  <c r="I757" i="992"/>
  <c r="I756" i="992" s="1"/>
  <c r="J755" i="992"/>
  <c r="M754" i="992"/>
  <c r="L754" i="992"/>
  <c r="K754" i="992"/>
  <c r="J754" i="992"/>
  <c r="I754" i="992"/>
  <c r="J753" i="992"/>
  <c r="M752" i="992"/>
  <c r="L752" i="992"/>
  <c r="K752" i="992"/>
  <c r="J752" i="992"/>
  <c r="I752" i="992"/>
  <c r="K751" i="992"/>
  <c r="J751" i="992" s="1"/>
  <c r="J750" i="992" s="1"/>
  <c r="I750" i="992"/>
  <c r="K749" i="992"/>
  <c r="I749" i="992"/>
  <c r="I748" i="992" s="1"/>
  <c r="M748" i="992"/>
  <c r="M747" i="992" s="1"/>
  <c r="L748" i="992"/>
  <c r="J744" i="992"/>
  <c r="M743" i="992"/>
  <c r="M742" i="992" s="1"/>
  <c r="L743" i="992"/>
  <c r="K743" i="992"/>
  <c r="K742" i="992" s="1"/>
  <c r="J743" i="992"/>
  <c r="J742" i="992" s="1"/>
  <c r="I743" i="992"/>
  <c r="I742" i="992" s="1"/>
  <c r="L742" i="992"/>
  <c r="J741" i="992"/>
  <c r="M740" i="992"/>
  <c r="L740" i="992"/>
  <c r="K740" i="992"/>
  <c r="J740" i="992"/>
  <c r="I740" i="992"/>
  <c r="K739" i="992"/>
  <c r="J739" i="992" s="1"/>
  <c r="J738" i="992" s="1"/>
  <c r="M738" i="992"/>
  <c r="L738" i="992"/>
  <c r="I738" i="992"/>
  <c r="I737" i="992" s="1"/>
  <c r="J737" i="992"/>
  <c r="K723" i="992"/>
  <c r="J723" i="992" s="1"/>
  <c r="J722" i="992" s="1"/>
  <c r="J721" i="992" s="1"/>
  <c r="M722" i="992"/>
  <c r="M721" i="992" s="1"/>
  <c r="L722" i="992"/>
  <c r="L721" i="992" s="1"/>
  <c r="I722" i="992"/>
  <c r="I721" i="992" s="1"/>
  <c r="K717" i="992"/>
  <c r="I717" i="992"/>
  <c r="I716" i="992" s="1"/>
  <c r="I715" i="992" s="1"/>
  <c r="M716" i="992"/>
  <c r="M715" i="992" s="1"/>
  <c r="L716" i="992"/>
  <c r="L715" i="992" s="1"/>
  <c r="L714" i="992" s="1"/>
  <c r="J707" i="992"/>
  <c r="K706" i="992"/>
  <c r="I706" i="992"/>
  <c r="I705" i="992" s="1"/>
  <c r="I704" i="992" s="1"/>
  <c r="I703" i="992" s="1"/>
  <c r="I702" i="992" s="1"/>
  <c r="J694" i="992"/>
  <c r="M693" i="992"/>
  <c r="M688" i="992" s="1"/>
  <c r="L693" i="992"/>
  <c r="K693" i="992"/>
  <c r="K688" i="992" s="1"/>
  <c r="J693" i="992"/>
  <c r="J688" i="992" s="1"/>
  <c r="I693" i="992"/>
  <c r="I688" i="992" s="1"/>
  <c r="L688" i="992"/>
  <c r="J687" i="992"/>
  <c r="M686" i="992"/>
  <c r="M685" i="992" s="1"/>
  <c r="L686" i="992"/>
  <c r="L685" i="992" s="1"/>
  <c r="K686" i="992"/>
  <c r="K685" i="992" s="1"/>
  <c r="J686" i="992"/>
  <c r="J685" i="992" s="1"/>
  <c r="I686" i="992"/>
  <c r="I685" i="992" s="1"/>
  <c r="J679" i="992"/>
  <c r="M678" i="992"/>
  <c r="M677" i="992" s="1"/>
  <c r="L678" i="992"/>
  <c r="K678" i="992"/>
  <c r="K677" i="992" s="1"/>
  <c r="J678" i="992"/>
  <c r="J677" i="992" s="1"/>
  <c r="I678" i="992"/>
  <c r="I677" i="992" s="1"/>
  <c r="L677" i="992"/>
  <c r="J676" i="992"/>
  <c r="M675" i="992"/>
  <c r="M674" i="992" s="1"/>
  <c r="L675" i="992"/>
  <c r="L674" i="992" s="1"/>
  <c r="K675" i="992"/>
  <c r="K674" i="992" s="1"/>
  <c r="J675" i="992"/>
  <c r="J674" i="992" s="1"/>
  <c r="I675" i="992"/>
  <c r="I674" i="992" s="1"/>
  <c r="J670" i="992"/>
  <c r="M669" i="992"/>
  <c r="L669" i="992"/>
  <c r="K669" i="992"/>
  <c r="J669" i="992"/>
  <c r="I669" i="992"/>
  <c r="J668" i="992"/>
  <c r="J667" i="992"/>
  <c r="M666" i="992"/>
  <c r="L666" i="992"/>
  <c r="K666" i="992"/>
  <c r="I666" i="992"/>
  <c r="J664" i="992"/>
  <c r="M663" i="992"/>
  <c r="L663" i="992"/>
  <c r="K663" i="992"/>
  <c r="J663" i="992"/>
  <c r="I663" i="992"/>
  <c r="J662" i="992"/>
  <c r="M661" i="992"/>
  <c r="L661" i="992"/>
  <c r="K661" i="992"/>
  <c r="K660" i="992" s="1"/>
  <c r="J661" i="992"/>
  <c r="I661" i="992"/>
  <c r="J659" i="992"/>
  <c r="M658" i="992"/>
  <c r="L658" i="992"/>
  <c r="K658" i="992"/>
  <c r="J658" i="992"/>
  <c r="I658" i="992"/>
  <c r="J657" i="992"/>
  <c r="J656" i="992"/>
  <c r="M655" i="992"/>
  <c r="M647" i="992" s="1"/>
  <c r="L655" i="992"/>
  <c r="L647" i="992" s="1"/>
  <c r="K655" i="992"/>
  <c r="J655" i="992"/>
  <c r="J647" i="992" s="1"/>
  <c r="I655" i="992"/>
  <c r="I647" i="992" s="1"/>
  <c r="K637" i="992"/>
  <c r="K636" i="992" s="1"/>
  <c r="K635" i="992" s="1"/>
  <c r="K625" i="992" s="1"/>
  <c r="M636" i="992"/>
  <c r="L636" i="992"/>
  <c r="L635" i="992" s="1"/>
  <c r="L625" i="992" s="1"/>
  <c r="J636" i="992"/>
  <c r="J635" i="992" s="1"/>
  <c r="J625" i="992" s="1"/>
  <c r="I636" i="992"/>
  <c r="I635" i="992" s="1"/>
  <c r="I625" i="992" s="1"/>
  <c r="M635" i="992"/>
  <c r="M625" i="992" s="1"/>
  <c r="J623" i="992"/>
  <c r="M622" i="992"/>
  <c r="M621" i="992" s="1"/>
  <c r="L622" i="992"/>
  <c r="K622" i="992"/>
  <c r="K621" i="992" s="1"/>
  <c r="J622" i="992"/>
  <c r="J621" i="992" s="1"/>
  <c r="I622" i="992"/>
  <c r="I621" i="992" s="1"/>
  <c r="L621" i="992"/>
  <c r="J618" i="992"/>
  <c r="M617" i="992"/>
  <c r="L617" i="992"/>
  <c r="L616" i="992" s="1"/>
  <c r="L615" i="992" s="1"/>
  <c r="K617" i="992"/>
  <c r="J617" i="992"/>
  <c r="I617" i="992"/>
  <c r="M616" i="992"/>
  <c r="K616" i="992"/>
  <c r="J616" i="992"/>
  <c r="I616" i="992"/>
  <c r="M615" i="992"/>
  <c r="K615" i="992"/>
  <c r="J614" i="992"/>
  <c r="M613" i="992"/>
  <c r="M604" i="992" s="1"/>
  <c r="M603" i="992" s="1"/>
  <c r="L613" i="992"/>
  <c r="K613" i="992"/>
  <c r="K604" i="992" s="1"/>
  <c r="K603" i="992" s="1"/>
  <c r="J613" i="992"/>
  <c r="J604" i="992" s="1"/>
  <c r="J603" i="992" s="1"/>
  <c r="I613" i="992"/>
  <c r="I604" i="992" s="1"/>
  <c r="I603" i="992" s="1"/>
  <c r="L604" i="992"/>
  <c r="L603" i="992" s="1"/>
  <c r="J602" i="992"/>
  <c r="M601" i="992"/>
  <c r="M600" i="992" s="1"/>
  <c r="L601" i="992"/>
  <c r="K601" i="992"/>
  <c r="K600" i="992" s="1"/>
  <c r="J601" i="992"/>
  <c r="J600" i="992" s="1"/>
  <c r="I601" i="992"/>
  <c r="I600" i="992" s="1"/>
  <c r="L600" i="992"/>
  <c r="J596" i="992"/>
  <c r="M595" i="992"/>
  <c r="L595" i="992"/>
  <c r="L594" i="992" s="1"/>
  <c r="L593" i="992" s="1"/>
  <c r="K595" i="992"/>
  <c r="J595" i="992"/>
  <c r="J594" i="992" s="1"/>
  <c r="I595" i="992"/>
  <c r="M594" i="992"/>
  <c r="K594" i="992"/>
  <c r="K593" i="992" s="1"/>
  <c r="K592" i="992" s="1"/>
  <c r="I594" i="992"/>
  <c r="M587" i="992"/>
  <c r="M586" i="992" s="1"/>
  <c r="M585" i="992" s="1"/>
  <c r="L587" i="992"/>
  <c r="K587" i="992"/>
  <c r="K586" i="992" s="1"/>
  <c r="K585" i="992" s="1"/>
  <c r="J587" i="992"/>
  <c r="I587" i="992"/>
  <c r="I586" i="992" s="1"/>
  <c r="I585" i="992" s="1"/>
  <c r="L586" i="992"/>
  <c r="L585" i="992" s="1"/>
  <c r="J586" i="992"/>
  <c r="J585" i="992" s="1"/>
  <c r="J584" i="992"/>
  <c r="J583" i="992" s="1"/>
  <c r="J582" i="992" s="1"/>
  <c r="J581" i="992" s="1"/>
  <c r="K583" i="992"/>
  <c r="K582" i="992" s="1"/>
  <c r="K581" i="992" s="1"/>
  <c r="K580" i="992" s="1"/>
  <c r="I583" i="992"/>
  <c r="I582" i="992" s="1"/>
  <c r="I581" i="992" s="1"/>
  <c r="J579" i="992"/>
  <c r="M578" i="992"/>
  <c r="L578" i="992"/>
  <c r="L577" i="992" s="1"/>
  <c r="L576" i="992" s="1"/>
  <c r="L575" i="992" s="1"/>
  <c r="L574" i="992" s="1"/>
  <c r="K578" i="992"/>
  <c r="J578" i="992"/>
  <c r="J577" i="992" s="1"/>
  <c r="J576" i="992" s="1"/>
  <c r="J575" i="992" s="1"/>
  <c r="I578" i="992"/>
  <c r="M577" i="992"/>
  <c r="M576" i="992" s="1"/>
  <c r="M575" i="992" s="1"/>
  <c r="M574" i="992" s="1"/>
  <c r="K577" i="992"/>
  <c r="K576" i="992" s="1"/>
  <c r="K575" i="992" s="1"/>
  <c r="I577" i="992"/>
  <c r="I576" i="992" s="1"/>
  <c r="I575" i="992" s="1"/>
  <c r="J572" i="992"/>
  <c r="J571" i="992" s="1"/>
  <c r="J570" i="992" s="1"/>
  <c r="J569" i="992" s="1"/>
  <c r="J568" i="992" s="1"/>
  <c r="K571" i="992"/>
  <c r="K570" i="992" s="1"/>
  <c r="K569" i="992" s="1"/>
  <c r="K568" i="992" s="1"/>
  <c r="I571" i="992"/>
  <c r="I570" i="992"/>
  <c r="I569" i="992" s="1"/>
  <c r="I568" i="992" s="1"/>
  <c r="J567" i="992"/>
  <c r="M566" i="992"/>
  <c r="M565" i="992" s="1"/>
  <c r="M564" i="992" s="1"/>
  <c r="L566" i="992"/>
  <c r="K566" i="992"/>
  <c r="K565" i="992" s="1"/>
  <c r="K564" i="992" s="1"/>
  <c r="F1679" i="992" s="1"/>
  <c r="J566" i="992"/>
  <c r="J565" i="992" s="1"/>
  <c r="J564" i="992" s="1"/>
  <c r="E1679" i="992" s="1"/>
  <c r="I566" i="992"/>
  <c r="I565" i="992" s="1"/>
  <c r="I564" i="992" s="1"/>
  <c r="D1679" i="992" s="1"/>
  <c r="L565" i="992"/>
  <c r="L564" i="992" s="1"/>
  <c r="J563" i="992"/>
  <c r="M562" i="992"/>
  <c r="M561" i="992" s="1"/>
  <c r="M560" i="992" s="1"/>
  <c r="L562" i="992"/>
  <c r="L561" i="992" s="1"/>
  <c r="L560" i="992" s="1"/>
  <c r="K562" i="992"/>
  <c r="K561" i="992" s="1"/>
  <c r="K560" i="992" s="1"/>
  <c r="J562" i="992"/>
  <c r="I562" i="992"/>
  <c r="I561" i="992" s="1"/>
  <c r="I560" i="992" s="1"/>
  <c r="J561" i="992"/>
  <c r="J560" i="992" s="1"/>
  <c r="M557" i="992"/>
  <c r="L557" i="992"/>
  <c r="K557" i="992"/>
  <c r="K556" i="992" s="1"/>
  <c r="I556" i="992"/>
  <c r="K555" i="992"/>
  <c r="J555" i="992" s="1"/>
  <c r="J554" i="992" s="1"/>
  <c r="M554" i="992"/>
  <c r="M553" i="992" s="1"/>
  <c r="L554" i="992"/>
  <c r="L553" i="992" s="1"/>
  <c r="I554" i="992"/>
  <c r="I553" i="992" s="1"/>
  <c r="J552" i="992"/>
  <c r="J551" i="992" s="1"/>
  <c r="J550" i="992" s="1"/>
  <c r="K551" i="992"/>
  <c r="I551" i="992"/>
  <c r="M550" i="992"/>
  <c r="L550" i="992"/>
  <c r="K550" i="992"/>
  <c r="I550" i="992"/>
  <c r="J549" i="992"/>
  <c r="J548" i="992"/>
  <c r="K547" i="992"/>
  <c r="I547" i="992"/>
  <c r="J546" i="992"/>
  <c r="M545" i="992"/>
  <c r="L545" i="992"/>
  <c r="K545" i="992"/>
  <c r="J545" i="992"/>
  <c r="I545" i="992"/>
  <c r="J544" i="992"/>
  <c r="J543" i="992"/>
  <c r="M542" i="992"/>
  <c r="L542" i="992"/>
  <c r="K542" i="992"/>
  <c r="I542" i="992"/>
  <c r="I541" i="992" s="1"/>
  <c r="J538" i="992"/>
  <c r="M537" i="992"/>
  <c r="M536" i="992" s="1"/>
  <c r="M535" i="992" s="1"/>
  <c r="M534" i="992" s="1"/>
  <c r="L537" i="992"/>
  <c r="L536" i="992" s="1"/>
  <c r="L535" i="992" s="1"/>
  <c r="L534" i="992" s="1"/>
  <c r="K537" i="992"/>
  <c r="K536" i="992" s="1"/>
  <c r="K535" i="992" s="1"/>
  <c r="J537" i="992"/>
  <c r="J536" i="992" s="1"/>
  <c r="J535" i="992" s="1"/>
  <c r="I537" i="992"/>
  <c r="I536" i="992" s="1"/>
  <c r="I535" i="992" s="1"/>
  <c r="K520" i="992"/>
  <c r="K519" i="992" s="1"/>
  <c r="K518" i="992" s="1"/>
  <c r="K517" i="992" s="1"/>
  <c r="M519" i="992"/>
  <c r="M518" i="992" s="1"/>
  <c r="M517" i="992" s="1"/>
  <c r="M516" i="992" s="1"/>
  <c r="L519" i="992"/>
  <c r="L518" i="992" s="1"/>
  <c r="L517" i="992" s="1"/>
  <c r="L516" i="992" s="1"/>
  <c r="J519" i="992"/>
  <c r="J518" i="992" s="1"/>
  <c r="J517" i="992" s="1"/>
  <c r="I519" i="992"/>
  <c r="I518" i="992" s="1"/>
  <c r="I517" i="992" s="1"/>
  <c r="K515" i="992"/>
  <c r="K514" i="992" s="1"/>
  <c r="K513" i="992" s="1"/>
  <c r="K512" i="992" s="1"/>
  <c r="J514" i="992"/>
  <c r="J513" i="992" s="1"/>
  <c r="J512" i="992" s="1"/>
  <c r="I514" i="992"/>
  <c r="I513" i="992" s="1"/>
  <c r="I512" i="992" s="1"/>
  <c r="J510" i="992"/>
  <c r="J509" i="992" s="1"/>
  <c r="J508" i="992" s="1"/>
  <c r="M509" i="992"/>
  <c r="M508" i="992" s="1"/>
  <c r="L509" i="992"/>
  <c r="L508" i="992" s="1"/>
  <c r="K508" i="992"/>
  <c r="I508" i="992"/>
  <c r="J505" i="992"/>
  <c r="M504" i="992"/>
  <c r="M503" i="992" s="1"/>
  <c r="L504" i="992"/>
  <c r="K504" i="992"/>
  <c r="K503" i="992" s="1"/>
  <c r="J504" i="992"/>
  <c r="J503" i="992" s="1"/>
  <c r="I504" i="992"/>
  <c r="I503" i="992" s="1"/>
  <c r="L503" i="992"/>
  <c r="K500" i="992"/>
  <c r="I500" i="992"/>
  <c r="I499" i="992" s="1"/>
  <c r="I497" i="992" s="1"/>
  <c r="M499" i="992"/>
  <c r="M497" i="992" s="1"/>
  <c r="L499" i="992"/>
  <c r="L497" i="992" s="1"/>
  <c r="J496" i="992"/>
  <c r="J495" i="992" s="1"/>
  <c r="J494" i="992" s="1"/>
  <c r="K495" i="992"/>
  <c r="K494" i="992" s="1"/>
  <c r="I495" i="992"/>
  <c r="I494" i="992" s="1"/>
  <c r="J493" i="992"/>
  <c r="J492" i="992"/>
  <c r="M491" i="992"/>
  <c r="L491" i="992"/>
  <c r="K491" i="992"/>
  <c r="I491" i="992"/>
  <c r="J490" i="992"/>
  <c r="M489" i="992"/>
  <c r="L489" i="992"/>
  <c r="K489" i="992"/>
  <c r="J489" i="992"/>
  <c r="I489" i="992"/>
  <c r="I488" i="992"/>
  <c r="J488" i="992" s="1"/>
  <c r="J487" i="992" s="1"/>
  <c r="J485" i="992"/>
  <c r="M484" i="992"/>
  <c r="M483" i="992" s="1"/>
  <c r="L484" i="992"/>
  <c r="L483" i="992" s="1"/>
  <c r="K484" i="992"/>
  <c r="K483" i="992" s="1"/>
  <c r="J484" i="992"/>
  <c r="J483" i="992" s="1"/>
  <c r="I484" i="992"/>
  <c r="I483" i="992" s="1"/>
  <c r="K482" i="992"/>
  <c r="I482" i="992"/>
  <c r="M481" i="992"/>
  <c r="M480" i="992" s="1"/>
  <c r="L481" i="992"/>
  <c r="L480" i="992" s="1"/>
  <c r="K481" i="992"/>
  <c r="K480" i="992" s="1"/>
  <c r="I481" i="992"/>
  <c r="I480" i="992" s="1"/>
  <c r="K479" i="992"/>
  <c r="I479" i="992"/>
  <c r="I478" i="992" s="1"/>
  <c r="M478" i="992"/>
  <c r="L478" i="992"/>
  <c r="J477" i="992"/>
  <c r="M476" i="992"/>
  <c r="L476" i="992"/>
  <c r="K476" i="992"/>
  <c r="J476" i="992"/>
  <c r="I476" i="992"/>
  <c r="I475" i="992"/>
  <c r="J475" i="992" s="1"/>
  <c r="J474" i="992" s="1"/>
  <c r="M474" i="992"/>
  <c r="L474" i="992"/>
  <c r="L473" i="992" s="1"/>
  <c r="K474" i="992"/>
  <c r="I474" i="992"/>
  <c r="J472" i="992"/>
  <c r="M471" i="992"/>
  <c r="M470" i="992" s="1"/>
  <c r="L471" i="992"/>
  <c r="L470" i="992" s="1"/>
  <c r="K471" i="992"/>
  <c r="K470" i="992" s="1"/>
  <c r="J471" i="992"/>
  <c r="J470" i="992" s="1"/>
  <c r="I471" i="992"/>
  <c r="I470" i="992" s="1"/>
  <c r="J468" i="992"/>
  <c r="M467" i="992"/>
  <c r="M466" i="992" s="1"/>
  <c r="M465" i="992" s="1"/>
  <c r="L467" i="992"/>
  <c r="L466" i="992" s="1"/>
  <c r="L465" i="992" s="1"/>
  <c r="K467" i="992"/>
  <c r="K466" i="992" s="1"/>
  <c r="K465" i="992" s="1"/>
  <c r="J467" i="992"/>
  <c r="J466" i="992" s="1"/>
  <c r="J465" i="992" s="1"/>
  <c r="I467" i="992"/>
  <c r="I466" i="992" s="1"/>
  <c r="I465" i="992" s="1"/>
  <c r="J464" i="992"/>
  <c r="J463" i="992"/>
  <c r="M462" i="992"/>
  <c r="M459" i="992" s="1"/>
  <c r="L462" i="992"/>
  <c r="J462" i="992"/>
  <c r="J461" i="992"/>
  <c r="J460" i="992"/>
  <c r="L459" i="992"/>
  <c r="K459" i="992"/>
  <c r="I459" i="992"/>
  <c r="I458" i="992"/>
  <c r="J458" i="992" s="1"/>
  <c r="J457" i="992" s="1"/>
  <c r="M457" i="992"/>
  <c r="L457" i="992"/>
  <c r="K457" i="992"/>
  <c r="I457" i="992"/>
  <c r="J456" i="992"/>
  <c r="M455" i="992"/>
  <c r="L455" i="992"/>
  <c r="K455" i="992"/>
  <c r="J455" i="992"/>
  <c r="I455" i="992"/>
  <c r="J454" i="992"/>
  <c r="M453" i="992"/>
  <c r="M452" i="992" s="1"/>
  <c r="L453" i="992"/>
  <c r="L452" i="992" s="1"/>
  <c r="K453" i="992"/>
  <c r="J453" i="992" s="1"/>
  <c r="I452" i="992"/>
  <c r="K450" i="992"/>
  <c r="I450" i="992"/>
  <c r="I449" i="992" s="1"/>
  <c r="I448" i="992" s="1"/>
  <c r="M449" i="992"/>
  <c r="M448" i="992" s="1"/>
  <c r="L449" i="992"/>
  <c r="L448" i="992" s="1"/>
  <c r="J447" i="992"/>
  <c r="K446" i="992"/>
  <c r="I446" i="992"/>
  <c r="I445" i="992" s="1"/>
  <c r="M445" i="992"/>
  <c r="L445" i="992"/>
  <c r="K444" i="992"/>
  <c r="I444" i="992"/>
  <c r="I443" i="992" s="1"/>
  <c r="M443" i="992"/>
  <c r="L443" i="992"/>
  <c r="K442" i="992"/>
  <c r="I442" i="992"/>
  <c r="I441" i="992" s="1"/>
  <c r="I440" i="992" s="1"/>
  <c r="M441" i="992"/>
  <c r="M440" i="992" s="1"/>
  <c r="L441" i="992"/>
  <c r="L440" i="992" s="1"/>
  <c r="J439" i="992"/>
  <c r="M438" i="992"/>
  <c r="L438" i="992"/>
  <c r="K438" i="992"/>
  <c r="J438" i="992"/>
  <c r="I438" i="992"/>
  <c r="K437" i="992"/>
  <c r="J437" i="992" s="1"/>
  <c r="J436" i="992" s="1"/>
  <c r="J435" i="992" s="1"/>
  <c r="M436" i="992"/>
  <c r="L436" i="992"/>
  <c r="I436" i="992"/>
  <c r="I435" i="992" s="1"/>
  <c r="J434" i="992"/>
  <c r="M433" i="992"/>
  <c r="L433" i="992"/>
  <c r="K433" i="992"/>
  <c r="J433" i="992"/>
  <c r="I433" i="992"/>
  <c r="J432" i="992"/>
  <c r="M431" i="992"/>
  <c r="L431" i="992"/>
  <c r="K431" i="992"/>
  <c r="J431" i="992"/>
  <c r="I431" i="992"/>
  <c r="J430" i="992"/>
  <c r="M429" i="992"/>
  <c r="L429" i="992"/>
  <c r="K429" i="992"/>
  <c r="J429" i="992"/>
  <c r="I429" i="992"/>
  <c r="M427" i="992"/>
  <c r="M425" i="992" s="1"/>
  <c r="L427" i="992"/>
  <c r="K427" i="992"/>
  <c r="K425" i="992" s="1"/>
  <c r="I427" i="992"/>
  <c r="I425" i="992" s="1"/>
  <c r="J426" i="992"/>
  <c r="L425" i="992"/>
  <c r="K424" i="992"/>
  <c r="I424" i="992"/>
  <c r="I423" i="992" s="1"/>
  <c r="M423" i="992"/>
  <c r="L423" i="992"/>
  <c r="J422" i="992"/>
  <c r="M421" i="992"/>
  <c r="L421" i="992"/>
  <c r="K421" i="992"/>
  <c r="J421" i="992"/>
  <c r="I421" i="992"/>
  <c r="J419" i="992"/>
  <c r="M418" i="992"/>
  <c r="M417" i="992" s="1"/>
  <c r="L418" i="992"/>
  <c r="L417" i="992" s="1"/>
  <c r="K418" i="992"/>
  <c r="K417" i="992" s="1"/>
  <c r="J418" i="992"/>
  <c r="J417" i="992" s="1"/>
  <c r="I418" i="992"/>
  <c r="I417" i="992" s="1"/>
  <c r="K416" i="992"/>
  <c r="I416" i="992"/>
  <c r="I415" i="992" s="1"/>
  <c r="M414" i="992"/>
  <c r="L414" i="992"/>
  <c r="L413" i="992" s="1"/>
  <c r="L412" i="992" s="1"/>
  <c r="K414" i="992"/>
  <c r="K413" i="992" s="1"/>
  <c r="I414" i="992"/>
  <c r="I413" i="992" s="1"/>
  <c r="M413" i="992"/>
  <c r="M412" i="992" s="1"/>
  <c r="J411" i="992"/>
  <c r="J410" i="992"/>
  <c r="M409" i="992"/>
  <c r="L409" i="992"/>
  <c r="K409" i="992"/>
  <c r="I409" i="992"/>
  <c r="M408" i="992"/>
  <c r="M407" i="992" s="1"/>
  <c r="L408" i="992"/>
  <c r="L407" i="992" s="1"/>
  <c r="K408" i="992"/>
  <c r="K407" i="992" s="1"/>
  <c r="I408" i="992"/>
  <c r="J406" i="992"/>
  <c r="M405" i="992"/>
  <c r="L405" i="992"/>
  <c r="K405" i="992"/>
  <c r="J405" i="992"/>
  <c r="I405" i="992"/>
  <c r="M404" i="992"/>
  <c r="M403" i="992" s="1"/>
  <c r="L404" i="992"/>
  <c r="L403" i="992" s="1"/>
  <c r="J404" i="992"/>
  <c r="J403" i="992" s="1"/>
  <c r="K403" i="992"/>
  <c r="I403" i="992"/>
  <c r="M400" i="992"/>
  <c r="M399" i="992" s="1"/>
  <c r="M398" i="992" s="1"/>
  <c r="K400" i="992"/>
  <c r="J400" i="992" s="1"/>
  <c r="J399" i="992" s="1"/>
  <c r="J398" i="992" s="1"/>
  <c r="L399" i="992"/>
  <c r="L398" i="992" s="1"/>
  <c r="I399" i="992"/>
  <c r="I398" i="992" s="1"/>
  <c r="J397" i="992"/>
  <c r="M396" i="992"/>
  <c r="L396" i="992"/>
  <c r="K396" i="992"/>
  <c r="J396" i="992"/>
  <c r="I396" i="992"/>
  <c r="K395" i="992"/>
  <c r="I395" i="992"/>
  <c r="I394" i="992" s="1"/>
  <c r="M394" i="992"/>
  <c r="L394" i="992"/>
  <c r="K392" i="992"/>
  <c r="I392" i="992"/>
  <c r="I391" i="992" s="1"/>
  <c r="I390" i="992" s="1"/>
  <c r="M391" i="992"/>
  <c r="M390" i="992" s="1"/>
  <c r="L391" i="992"/>
  <c r="L390" i="992" s="1"/>
  <c r="J389" i="992"/>
  <c r="M388" i="992"/>
  <c r="L388" i="992"/>
  <c r="K388" i="992"/>
  <c r="J388" i="992"/>
  <c r="I388" i="992"/>
  <c r="J387" i="992"/>
  <c r="M386" i="992"/>
  <c r="L386" i="992"/>
  <c r="K386" i="992"/>
  <c r="J386" i="992"/>
  <c r="I386" i="992"/>
  <c r="K385" i="992"/>
  <c r="I385" i="992"/>
  <c r="J384" i="992"/>
  <c r="M383" i="992"/>
  <c r="L383" i="992"/>
  <c r="I383" i="992"/>
  <c r="J381" i="992"/>
  <c r="J380" i="992"/>
  <c r="M379" i="992"/>
  <c r="M378" i="992" s="1"/>
  <c r="L379" i="992"/>
  <c r="L378" i="992" s="1"/>
  <c r="J379" i="992"/>
  <c r="K378" i="992"/>
  <c r="I378" i="992"/>
  <c r="J377" i="992"/>
  <c r="K376" i="992"/>
  <c r="I376" i="992"/>
  <c r="I375" i="992" s="1"/>
  <c r="M375" i="992"/>
  <c r="L375" i="992"/>
  <c r="L374" i="992" s="1"/>
  <c r="J373" i="992"/>
  <c r="M372" i="992"/>
  <c r="L372" i="992"/>
  <c r="K372" i="992"/>
  <c r="J372" i="992"/>
  <c r="I372" i="992"/>
  <c r="J371" i="992"/>
  <c r="M370" i="992"/>
  <c r="L370" i="992"/>
  <c r="K370" i="992"/>
  <c r="J370" i="992"/>
  <c r="I370" i="992"/>
  <c r="K369" i="992"/>
  <c r="I369" i="992"/>
  <c r="I368" i="992" s="1"/>
  <c r="M368" i="992"/>
  <c r="L368" i="992"/>
  <c r="J367" i="992"/>
  <c r="M366" i="992"/>
  <c r="L366" i="992"/>
  <c r="K366" i="992"/>
  <c r="J366" i="992"/>
  <c r="I366" i="992"/>
  <c r="J365" i="992"/>
  <c r="J364" i="992"/>
  <c r="J363" i="992"/>
  <c r="K362" i="992"/>
  <c r="I362" i="992"/>
  <c r="J361" i="992"/>
  <c r="K360" i="992"/>
  <c r="I360" i="992"/>
  <c r="M359" i="992"/>
  <c r="M358" i="992" s="1"/>
  <c r="L359" i="992"/>
  <c r="K359" i="992"/>
  <c r="J356" i="992"/>
  <c r="M355" i="992"/>
  <c r="L355" i="992"/>
  <c r="K355" i="992"/>
  <c r="J355" i="992"/>
  <c r="I355" i="992"/>
  <c r="J354" i="992"/>
  <c r="M353" i="992"/>
  <c r="M352" i="992" s="1"/>
  <c r="L353" i="992"/>
  <c r="L352" i="992" s="1"/>
  <c r="K353" i="992"/>
  <c r="I353" i="992"/>
  <c r="I352" i="992" s="1"/>
  <c r="J350" i="992"/>
  <c r="M349" i="992"/>
  <c r="L349" i="992"/>
  <c r="K349" i="992"/>
  <c r="J349" i="992"/>
  <c r="I349" i="992"/>
  <c r="K348" i="992"/>
  <c r="J348" i="992" s="1"/>
  <c r="J347" i="992" s="1"/>
  <c r="M347" i="992"/>
  <c r="M346" i="992" s="1"/>
  <c r="L347" i="992"/>
  <c r="I347" i="992"/>
  <c r="I346" i="992" s="1"/>
  <c r="M345" i="992"/>
  <c r="M344" i="992" s="1"/>
  <c r="L345" i="992"/>
  <c r="L344" i="992" s="1"/>
  <c r="J345" i="992"/>
  <c r="J344" i="992" s="1"/>
  <c r="K344" i="992"/>
  <c r="I344" i="992"/>
  <c r="J343" i="992"/>
  <c r="M342" i="992"/>
  <c r="L342" i="992"/>
  <c r="K342" i="992"/>
  <c r="J342" i="992"/>
  <c r="I342" i="992"/>
  <c r="K341" i="992"/>
  <c r="I341" i="992"/>
  <c r="J341" i="992" s="1"/>
  <c r="J340" i="992" s="1"/>
  <c r="M340" i="992"/>
  <c r="L340" i="992"/>
  <c r="K340" i="992"/>
  <c r="I340" i="992"/>
  <c r="K339" i="992"/>
  <c r="I339" i="992"/>
  <c r="I338" i="992" s="1"/>
  <c r="M338" i="992"/>
  <c r="L338" i="992"/>
  <c r="L337" i="992" s="1"/>
  <c r="J334" i="992"/>
  <c r="J333" i="992"/>
  <c r="K332" i="992"/>
  <c r="I332" i="992"/>
  <c r="I331" i="992" s="1"/>
  <c r="I330" i="992" s="1"/>
  <c r="M331" i="992"/>
  <c r="M330" i="992" s="1"/>
  <c r="L331" i="992"/>
  <c r="L330" i="992" s="1"/>
  <c r="K329" i="992"/>
  <c r="I329" i="992"/>
  <c r="I328" i="992" s="1"/>
  <c r="M328" i="992"/>
  <c r="L328" i="992"/>
  <c r="K327" i="992"/>
  <c r="J327" i="992" s="1"/>
  <c r="M326" i="992"/>
  <c r="L326" i="992"/>
  <c r="I326" i="992"/>
  <c r="K323" i="992"/>
  <c r="I323" i="992"/>
  <c r="I322" i="992" s="1"/>
  <c r="M322" i="992"/>
  <c r="L322" i="992"/>
  <c r="K321" i="992"/>
  <c r="I321" i="992"/>
  <c r="I320" i="992" s="1"/>
  <c r="M320" i="992"/>
  <c r="L320" i="992"/>
  <c r="J319" i="992"/>
  <c r="M318" i="992"/>
  <c r="L318" i="992"/>
  <c r="K318" i="992"/>
  <c r="J318" i="992"/>
  <c r="I318" i="992"/>
  <c r="J317" i="992"/>
  <c r="M316" i="992"/>
  <c r="L316" i="992"/>
  <c r="K316" i="992"/>
  <c r="J316" i="992"/>
  <c r="I316" i="992"/>
  <c r="J315" i="992"/>
  <c r="J314" i="992" s="1"/>
  <c r="M314" i="992"/>
  <c r="L314" i="992"/>
  <c r="K314" i="992"/>
  <c r="I314" i="992"/>
  <c r="M313" i="992"/>
  <c r="M312" i="992" s="1"/>
  <c r="L313" i="992"/>
  <c r="L312" i="992" s="1"/>
  <c r="J313" i="992"/>
  <c r="J312" i="992" s="1"/>
  <c r="K312" i="992"/>
  <c r="I312" i="992"/>
  <c r="J309" i="992"/>
  <c r="J308" i="992"/>
  <c r="J307" i="992"/>
  <c r="M306" i="992"/>
  <c r="L306" i="992"/>
  <c r="L305" i="992" s="1"/>
  <c r="K306" i="992"/>
  <c r="K305" i="992" s="1"/>
  <c r="I306" i="992"/>
  <c r="I305" i="992" s="1"/>
  <c r="M305" i="992"/>
  <c r="K304" i="992"/>
  <c r="I304" i="992"/>
  <c r="I303" i="992" s="1"/>
  <c r="I302" i="992" s="1"/>
  <c r="M303" i="992"/>
  <c r="M302" i="992" s="1"/>
  <c r="L303" i="992"/>
  <c r="L302" i="992" s="1"/>
  <c r="K301" i="992"/>
  <c r="J300" i="992"/>
  <c r="J299" i="992"/>
  <c r="J298" i="992"/>
  <c r="J297" i="992"/>
  <c r="J296" i="992"/>
  <c r="M295" i="992"/>
  <c r="M294" i="992" s="1"/>
  <c r="L295" i="992"/>
  <c r="L294" i="992" s="1"/>
  <c r="I295" i="992"/>
  <c r="I294" i="992" s="1"/>
  <c r="J289" i="992"/>
  <c r="J288" i="992" s="1"/>
  <c r="J287" i="992" s="1"/>
  <c r="J286" i="992" s="1"/>
  <c r="J285" i="992" s="1"/>
  <c r="J284" i="992" s="1"/>
  <c r="K288" i="992"/>
  <c r="K287" i="992" s="1"/>
  <c r="K286" i="992" s="1"/>
  <c r="K285" i="992" s="1"/>
  <c r="K284" i="992" s="1"/>
  <c r="I288" i="992"/>
  <c r="I287" i="992" s="1"/>
  <c r="I286" i="992" s="1"/>
  <c r="I285" i="992" s="1"/>
  <c r="I284" i="992" s="1"/>
  <c r="J282" i="992"/>
  <c r="M281" i="992"/>
  <c r="M280" i="992" s="1"/>
  <c r="M279" i="992" s="1"/>
  <c r="M278" i="992" s="1"/>
  <c r="M277" i="992" s="1"/>
  <c r="L281" i="992"/>
  <c r="K281" i="992"/>
  <c r="K280" i="992" s="1"/>
  <c r="K279" i="992" s="1"/>
  <c r="J281" i="992"/>
  <c r="J280" i="992" s="1"/>
  <c r="J279" i="992" s="1"/>
  <c r="I281" i="992"/>
  <c r="I280" i="992" s="1"/>
  <c r="I279" i="992" s="1"/>
  <c r="L280" i="992"/>
  <c r="L279" i="992" s="1"/>
  <c r="L278" i="992" s="1"/>
  <c r="L277" i="992" s="1"/>
  <c r="J275" i="992"/>
  <c r="J274" i="992" s="1"/>
  <c r="J273" i="992" s="1"/>
  <c r="J272" i="992" s="1"/>
  <c r="K274" i="992"/>
  <c r="K273" i="992" s="1"/>
  <c r="K272" i="992" s="1"/>
  <c r="I274" i="992"/>
  <c r="I273" i="992" s="1"/>
  <c r="I272" i="992" s="1"/>
  <c r="J271" i="992"/>
  <c r="J270" i="992" s="1"/>
  <c r="J269" i="992" s="1"/>
  <c r="J268" i="992" s="1"/>
  <c r="K270" i="992"/>
  <c r="K269" i="992" s="1"/>
  <c r="K268" i="992" s="1"/>
  <c r="I270" i="992"/>
  <c r="I269" i="992" s="1"/>
  <c r="I268" i="992" s="1"/>
  <c r="J267" i="992"/>
  <c r="J266" i="992" s="1"/>
  <c r="J265" i="992" s="1"/>
  <c r="J264" i="992" s="1"/>
  <c r="K266" i="992"/>
  <c r="K265" i="992" s="1"/>
  <c r="K264" i="992" s="1"/>
  <c r="I266" i="992"/>
  <c r="I265" i="992" s="1"/>
  <c r="I264" i="992" s="1"/>
  <c r="J260" i="992"/>
  <c r="J259" i="992" s="1"/>
  <c r="J258" i="992" s="1"/>
  <c r="J257" i="992" s="1"/>
  <c r="J256" i="992" s="1"/>
  <c r="K259" i="992"/>
  <c r="K258" i="992" s="1"/>
  <c r="K257" i="992" s="1"/>
  <c r="K256" i="992" s="1"/>
  <c r="I259" i="992"/>
  <c r="I258" i="992" s="1"/>
  <c r="I257" i="992" s="1"/>
  <c r="I256" i="992" s="1"/>
  <c r="J255" i="992"/>
  <c r="J254" i="992" s="1"/>
  <c r="J253" i="992" s="1"/>
  <c r="K254" i="992"/>
  <c r="K253" i="992" s="1"/>
  <c r="I254" i="992"/>
  <c r="I253" i="992" s="1"/>
  <c r="J252" i="992"/>
  <c r="J251" i="992" s="1"/>
  <c r="K251" i="992"/>
  <c r="I251" i="992"/>
  <c r="J250" i="992"/>
  <c r="J249" i="992" s="1"/>
  <c r="K249" i="992"/>
  <c r="K248" i="992" s="1"/>
  <c r="I249" i="992"/>
  <c r="J246" i="992"/>
  <c r="J245" i="992" s="1"/>
  <c r="J244" i="992" s="1"/>
  <c r="J243" i="992" s="1"/>
  <c r="K245" i="992"/>
  <c r="K244" i="992" s="1"/>
  <c r="K243" i="992" s="1"/>
  <c r="I245" i="992"/>
  <c r="I244" i="992" s="1"/>
  <c r="I243" i="992" s="1"/>
  <c r="J238" i="992"/>
  <c r="J237" i="992" s="1"/>
  <c r="J236" i="992" s="1"/>
  <c r="J235" i="992" s="1"/>
  <c r="K237" i="992"/>
  <c r="K236" i="992" s="1"/>
  <c r="K235" i="992" s="1"/>
  <c r="I237" i="992"/>
  <c r="I236" i="992" s="1"/>
  <c r="I235" i="992" s="1"/>
  <c r="J234" i="992"/>
  <c r="J233" i="992" s="1"/>
  <c r="K233" i="992"/>
  <c r="I233" i="992"/>
  <c r="J232" i="992"/>
  <c r="J231" i="992" s="1"/>
  <c r="K231" i="992"/>
  <c r="K230" i="992" s="1"/>
  <c r="I231" i="992"/>
  <c r="J229" i="992"/>
  <c r="J228" i="992" s="1"/>
  <c r="J227" i="992" s="1"/>
  <c r="K228" i="992"/>
  <c r="K227" i="992" s="1"/>
  <c r="I228" i="992"/>
  <c r="I227" i="992" s="1"/>
  <c r="J224" i="992"/>
  <c r="J223" i="992" s="1"/>
  <c r="J222" i="992" s="1"/>
  <c r="J221" i="992" s="1"/>
  <c r="J220" i="992" s="1"/>
  <c r="K223" i="992"/>
  <c r="K222" i="992" s="1"/>
  <c r="K221" i="992" s="1"/>
  <c r="K220" i="992" s="1"/>
  <c r="I223" i="992"/>
  <c r="I222" i="992" s="1"/>
  <c r="I221" i="992" s="1"/>
  <c r="I220" i="992" s="1"/>
  <c r="J208" i="992"/>
  <c r="J207" i="992"/>
  <c r="K206" i="992"/>
  <c r="K205" i="992" s="1"/>
  <c r="K204" i="992" s="1"/>
  <c r="I206" i="992"/>
  <c r="I205" i="992" s="1"/>
  <c r="I204" i="992" s="1"/>
  <c r="K157" i="992"/>
  <c r="J157" i="992"/>
  <c r="I157" i="992"/>
  <c r="J149" i="992"/>
  <c r="M148" i="992"/>
  <c r="M147" i="992" s="1"/>
  <c r="L148" i="992"/>
  <c r="L147" i="992" s="1"/>
  <c r="K148" i="992"/>
  <c r="K147" i="992" s="1"/>
  <c r="J148" i="992"/>
  <c r="J147" i="992" s="1"/>
  <c r="I148" i="992"/>
  <c r="I147" i="992" s="1"/>
  <c r="J141" i="992"/>
  <c r="J140" i="992" s="1"/>
  <c r="J139" i="992" s="1"/>
  <c r="K140" i="992"/>
  <c r="K139" i="992" s="1"/>
  <c r="I140" i="992"/>
  <c r="I139" i="992" s="1"/>
  <c r="J128" i="992"/>
  <c r="J127" i="992"/>
  <c r="M126" i="992"/>
  <c r="M121" i="992" s="1"/>
  <c r="L126" i="992"/>
  <c r="L121" i="992" s="1"/>
  <c r="K126" i="992"/>
  <c r="I126" i="992"/>
  <c r="J125" i="992"/>
  <c r="J124" i="992" s="1"/>
  <c r="K124" i="992"/>
  <c r="I124" i="992"/>
  <c r="J123" i="992"/>
  <c r="J122" i="992" s="1"/>
  <c r="K122" i="992"/>
  <c r="I122" i="992"/>
  <c r="J117" i="992"/>
  <c r="J116" i="992" s="1"/>
  <c r="J115" i="992" s="1"/>
  <c r="K116" i="992"/>
  <c r="K115" i="992" s="1"/>
  <c r="I116" i="992"/>
  <c r="I115" i="992" s="1"/>
  <c r="J112" i="992"/>
  <c r="M111" i="992"/>
  <c r="L111" i="992"/>
  <c r="K111" i="992"/>
  <c r="J111" i="992"/>
  <c r="I111" i="992"/>
  <c r="J108" i="992"/>
  <c r="M107" i="992"/>
  <c r="L107" i="992"/>
  <c r="K107" i="992"/>
  <c r="J107" i="992"/>
  <c r="I107" i="992"/>
  <c r="L106" i="992"/>
  <c r="J104" i="992"/>
  <c r="J103" i="992" s="1"/>
  <c r="J102" i="992" s="1"/>
  <c r="K103" i="992"/>
  <c r="K102" i="992" s="1"/>
  <c r="I103" i="992"/>
  <c r="I102" i="992" s="1"/>
  <c r="J99" i="992"/>
  <c r="J98" i="992" s="1"/>
  <c r="J97" i="992" s="1"/>
  <c r="K98" i="992"/>
  <c r="K97" i="992" s="1"/>
  <c r="I98" i="992"/>
  <c r="I97" i="992" s="1"/>
  <c r="J93" i="992"/>
  <c r="J92" i="992" s="1"/>
  <c r="K92" i="992"/>
  <c r="I92" i="992"/>
  <c r="J91" i="992"/>
  <c r="J90" i="992" s="1"/>
  <c r="K90" i="992"/>
  <c r="I90" i="992"/>
  <c r="J89" i="992"/>
  <c r="J88" i="992"/>
  <c r="K87" i="992"/>
  <c r="K86" i="992" s="1"/>
  <c r="I87" i="992"/>
  <c r="I86" i="992"/>
  <c r="I85" i="992"/>
  <c r="J85" i="992" s="1"/>
  <c r="J84" i="992" s="1"/>
  <c r="M84" i="992"/>
  <c r="L84" i="992"/>
  <c r="K84" i="992"/>
  <c r="I83" i="992"/>
  <c r="J83" i="992" s="1"/>
  <c r="J82" i="992" s="1"/>
  <c r="J81" i="992" s="1"/>
  <c r="M82" i="992"/>
  <c r="M81" i="992" s="1"/>
  <c r="L82" i="992"/>
  <c r="K82" i="992"/>
  <c r="K81" i="992" s="1"/>
  <c r="I82" i="992"/>
  <c r="L81" i="992"/>
  <c r="J78" i="992"/>
  <c r="K77" i="992"/>
  <c r="J77" i="992"/>
  <c r="I77" i="992"/>
  <c r="J76" i="992"/>
  <c r="J75" i="992" s="1"/>
  <c r="K75" i="992"/>
  <c r="I75" i="992"/>
  <c r="J72" i="992"/>
  <c r="J71" i="992"/>
  <c r="M69" i="992"/>
  <c r="M68" i="992" s="1"/>
  <c r="M67" i="992" s="1"/>
  <c r="L69" i="992"/>
  <c r="K69" i="992"/>
  <c r="I69" i="992"/>
  <c r="I68" i="992" s="1"/>
  <c r="L68" i="992"/>
  <c r="L67" i="992" s="1"/>
  <c r="J64" i="992"/>
  <c r="J63" i="992"/>
  <c r="K62" i="992"/>
  <c r="K61" i="992" s="1"/>
  <c r="I62" i="992"/>
  <c r="I61" i="992" s="1"/>
  <c r="J60" i="992"/>
  <c r="M59" i="992"/>
  <c r="L59" i="992"/>
  <c r="K59" i="992"/>
  <c r="J59" i="992"/>
  <c r="I59" i="992"/>
  <c r="I58" i="992"/>
  <c r="I57" i="992" s="1"/>
  <c r="M57" i="992"/>
  <c r="L57" i="992"/>
  <c r="K57" i="992"/>
  <c r="K56" i="992" s="1"/>
  <c r="K55" i="992"/>
  <c r="K54" i="992" s="1"/>
  <c r="J54" i="992"/>
  <c r="I54" i="992"/>
  <c r="K53" i="992"/>
  <c r="K52" i="992" s="1"/>
  <c r="J52" i="992"/>
  <c r="I52" i="992"/>
  <c r="K51" i="992"/>
  <c r="K50" i="992" s="1"/>
  <c r="J50" i="992"/>
  <c r="I50" i="992"/>
  <c r="K49" i="992"/>
  <c r="K48" i="992" s="1"/>
  <c r="J48" i="992"/>
  <c r="I48" i="992"/>
  <c r="J43" i="992"/>
  <c r="J42" i="992" s="1"/>
  <c r="J41" i="992" s="1"/>
  <c r="M42" i="992"/>
  <c r="L42" i="992"/>
  <c r="L41" i="992" s="1"/>
  <c r="K42" i="992"/>
  <c r="K41" i="992" s="1"/>
  <c r="I42" i="992"/>
  <c r="I41" i="992" s="1"/>
  <c r="M41" i="992"/>
  <c r="J40" i="992"/>
  <c r="M39" i="992"/>
  <c r="L39" i="992"/>
  <c r="K39" i="992"/>
  <c r="J39" i="992"/>
  <c r="I39" i="992"/>
  <c r="K38" i="992"/>
  <c r="J38" i="992" s="1"/>
  <c r="J37" i="992" s="1"/>
  <c r="J36" i="992" s="1"/>
  <c r="J35" i="992" s="1"/>
  <c r="I38" i="992"/>
  <c r="M37" i="992"/>
  <c r="L37" i="992"/>
  <c r="I37" i="992"/>
  <c r="I36" i="992" s="1"/>
  <c r="J34" i="992"/>
  <c r="M33" i="992"/>
  <c r="L33" i="992"/>
  <c r="K33" i="992"/>
  <c r="J33" i="992"/>
  <c r="I33" i="992"/>
  <c r="J32" i="992"/>
  <c r="J31" i="992" s="1"/>
  <c r="K31" i="992"/>
  <c r="I31" i="992"/>
  <c r="J28" i="992"/>
  <c r="J27" i="992" s="1"/>
  <c r="K27" i="992"/>
  <c r="I27" i="992"/>
  <c r="J26" i="992"/>
  <c r="M25" i="992"/>
  <c r="L25" i="992"/>
  <c r="K25" i="992"/>
  <c r="J25" i="992"/>
  <c r="I25" i="992"/>
  <c r="I24" i="992"/>
  <c r="I23" i="992" s="1"/>
  <c r="M23" i="992"/>
  <c r="M22" i="992" s="1"/>
  <c r="M21" i="992" s="1"/>
  <c r="L23" i="992"/>
  <c r="K23" i="992"/>
  <c r="J20" i="992"/>
  <c r="I19" i="992"/>
  <c r="J19" i="992" s="1"/>
  <c r="M18" i="992"/>
  <c r="M17" i="992" s="1"/>
  <c r="L18" i="992"/>
  <c r="L17" i="992" s="1"/>
  <c r="K18" i="992"/>
  <c r="K17" i="992" s="1"/>
  <c r="K16" i="992"/>
  <c r="I16" i="992"/>
  <c r="I15" i="992" s="1"/>
  <c r="I14" i="992" s="1"/>
  <c r="J13" i="992"/>
  <c r="I12" i="992"/>
  <c r="J12" i="992" s="1"/>
  <c r="I11" i="992"/>
  <c r="J11" i="992" s="1"/>
  <c r="M10" i="992"/>
  <c r="M9" i="992" s="1"/>
  <c r="L10" i="992"/>
  <c r="L9" i="992" s="1"/>
  <c r="K10" i="992"/>
  <c r="K9" i="992" s="1"/>
  <c r="M325" i="992" l="1"/>
  <c r="M324" i="992" s="1"/>
  <c r="K1300" i="992"/>
  <c r="J62" i="992"/>
  <c r="J61" i="992" s="1"/>
  <c r="K1044" i="992"/>
  <c r="K1043" i="992" s="1"/>
  <c r="J1215" i="992"/>
  <c r="J1214" i="992" s="1"/>
  <c r="J47" i="992"/>
  <c r="L486" i="992"/>
  <c r="J800" i="992"/>
  <c r="M1134" i="992"/>
  <c r="I1499" i="992"/>
  <c r="I374" i="992"/>
  <c r="I22" i="992"/>
  <c r="I21" i="992" s="1"/>
  <c r="L36" i="992"/>
  <c r="L35" i="992" s="1"/>
  <c r="M393" i="992"/>
  <c r="M382" i="992"/>
  <c r="I823" i="992"/>
  <c r="J1139" i="992"/>
  <c r="K879" i="992"/>
  <c r="K878" i="992" s="1"/>
  <c r="K436" i="992"/>
  <c r="J428" i="992"/>
  <c r="K722" i="992"/>
  <c r="K721" i="992" s="1"/>
  <c r="I879" i="992"/>
  <c r="I878" i="992" s="1"/>
  <c r="J1108" i="992"/>
  <c r="I1113" i="992"/>
  <c r="K1205" i="992"/>
  <c r="K1204" i="992" s="1"/>
  <c r="K1255" i="992"/>
  <c r="I1442" i="992"/>
  <c r="K1513" i="992"/>
  <c r="J1542" i="992"/>
  <c r="J1541" i="992" s="1"/>
  <c r="J1540" i="992" s="1"/>
  <c r="J1539" i="992" s="1"/>
  <c r="J1499" i="992"/>
  <c r="K226" i="992"/>
  <c r="K225" i="992" s="1"/>
  <c r="K219" i="992" s="1"/>
  <c r="I949" i="992"/>
  <c r="J1232" i="992"/>
  <c r="J1231" i="992" s="1"/>
  <c r="I263" i="992"/>
  <c r="I262" i="992" s="1"/>
  <c r="K1241" i="992"/>
  <c r="K541" i="992"/>
  <c r="J362" i="992"/>
  <c r="M435" i="992"/>
  <c r="L800" i="992"/>
  <c r="J833" i="992"/>
  <c r="K1098" i="992"/>
  <c r="K326" i="992"/>
  <c r="J329" i="992"/>
  <c r="J328" i="992" s="1"/>
  <c r="K1108" i="992"/>
  <c r="L1158" i="992"/>
  <c r="L1246" i="992"/>
  <c r="K1591" i="992"/>
  <c r="K1622" i="992"/>
  <c r="K1134" i="992"/>
  <c r="K106" i="992"/>
  <c r="J339" i="992"/>
  <c r="J338" i="992" s="1"/>
  <c r="K347" i="992"/>
  <c r="L351" i="992"/>
  <c r="J442" i="992"/>
  <c r="J441" i="992" s="1"/>
  <c r="J444" i="992"/>
  <c r="J443" i="992" s="1"/>
  <c r="J446" i="992"/>
  <c r="I736" i="992"/>
  <c r="I815" i="992"/>
  <c r="M815" i="992"/>
  <c r="J823" i="992"/>
  <c r="J934" i="992"/>
  <c r="L1098" i="992"/>
  <c r="K1148" i="992"/>
  <c r="K1147" i="992" s="1"/>
  <c r="I1205" i="992"/>
  <c r="M1205" i="992"/>
  <c r="I1215" i="992"/>
  <c r="I1214" i="992" s="1"/>
  <c r="I1264" i="992"/>
  <c r="J1327" i="992"/>
  <c r="J1401" i="992"/>
  <c r="J1400" i="992" s="1"/>
  <c r="L1410" i="992"/>
  <c r="K1427" i="992"/>
  <c r="J673" i="992"/>
  <c r="L773" i="992"/>
  <c r="M1158" i="992"/>
  <c r="M1121" i="992" s="1"/>
  <c r="J1205" i="992"/>
  <c r="J1204" i="992" s="1"/>
  <c r="L1231" i="992"/>
  <c r="I1241" i="992"/>
  <c r="I1230" i="992" s="1"/>
  <c r="M1241" i="992"/>
  <c r="M1246" i="992"/>
  <c r="L1254" i="992"/>
  <c r="J1343" i="992"/>
  <c r="L1437" i="992"/>
  <c r="K1647" i="992"/>
  <c r="K1646" i="992" s="1"/>
  <c r="K1645" i="992" s="1"/>
  <c r="M660" i="992"/>
  <c r="J767" i="992"/>
  <c r="M788" i="992"/>
  <c r="J814" i="992"/>
  <c r="J813" i="992" s="1"/>
  <c r="J812" i="992" s="1"/>
  <c r="K920" i="992"/>
  <c r="K909" i="992" s="1"/>
  <c r="K934" i="992"/>
  <c r="I1055" i="992"/>
  <c r="I1054" i="992" s="1"/>
  <c r="K1113" i="992"/>
  <c r="J1195" i="992"/>
  <c r="K1246" i="992"/>
  <c r="I1342" i="992"/>
  <c r="K1380" i="992"/>
  <c r="K1379" i="992" s="1"/>
  <c r="K1386" i="992"/>
  <c r="K1385" i="992" s="1"/>
  <c r="K1508" i="992"/>
  <c r="K1498" i="992" s="1"/>
  <c r="K1497" i="992" s="1"/>
  <c r="J360" i="992"/>
  <c r="I393" i="992"/>
  <c r="M486" i="992"/>
  <c r="I660" i="992"/>
  <c r="K788" i="992"/>
  <c r="J1134" i="992"/>
  <c r="I1255" i="992"/>
  <c r="K1291" i="992"/>
  <c r="K1290" i="992" s="1"/>
  <c r="I1301" i="992"/>
  <c r="I1300" i="992" s="1"/>
  <c r="I1337" i="992"/>
  <c r="K1342" i="992"/>
  <c r="I1427" i="992"/>
  <c r="I1437" i="992"/>
  <c r="L1442" i="992"/>
  <c r="K1488" i="992"/>
  <c r="K1487" i="992" s="1"/>
  <c r="I1508" i="992"/>
  <c r="K1635" i="992"/>
  <c r="K1634" i="992" s="1"/>
  <c r="K1633" i="992" s="1"/>
  <c r="J385" i="992"/>
  <c r="J383" i="992" s="1"/>
  <c r="J382" i="992" s="1"/>
  <c r="M773" i="992"/>
  <c r="J995" i="992"/>
  <c r="J994" i="992" s="1"/>
  <c r="J593" i="992"/>
  <c r="L665" i="992"/>
  <c r="K949" i="992"/>
  <c r="J1301" i="992"/>
  <c r="J1300" i="992" s="1"/>
  <c r="M1442" i="992"/>
  <c r="M1426" i="992" s="1"/>
  <c r="I1513" i="992"/>
  <c r="M36" i="992"/>
  <c r="M35" i="992" s="1"/>
  <c r="M665" i="992"/>
  <c r="M646" i="992" s="1"/>
  <c r="L747" i="992"/>
  <c r="L746" i="992" s="1"/>
  <c r="K773" i="992"/>
  <c r="J774" i="992"/>
  <c r="J773" i="992" s="1"/>
  <c r="J783" i="992"/>
  <c r="I788" i="992"/>
  <c r="M1400" i="992"/>
  <c r="J1603" i="992"/>
  <c r="L22" i="992"/>
  <c r="L21" i="992" s="1"/>
  <c r="M56" i="992"/>
  <c r="M46" i="992" s="1"/>
  <c r="M311" i="992"/>
  <c r="M310" i="992" s="1"/>
  <c r="J414" i="992"/>
  <c r="J413" i="992" s="1"/>
  <c r="I615" i="992"/>
  <c r="J717" i="992"/>
  <c r="J716" i="992" s="1"/>
  <c r="J715" i="992" s="1"/>
  <c r="J714" i="992" s="1"/>
  <c r="K750" i="992"/>
  <c r="K815" i="992"/>
  <c r="J911" i="992"/>
  <c r="L1108" i="992"/>
  <c r="I1549" i="992"/>
  <c r="I1548" i="992" s="1"/>
  <c r="L56" i="992"/>
  <c r="L46" i="992" s="1"/>
  <c r="M420" i="992"/>
  <c r="K502" i="992"/>
  <c r="K501" i="992" s="1"/>
  <c r="I856" i="992"/>
  <c r="J879" i="992"/>
  <c r="J1449" i="992"/>
  <c r="J1513" i="992"/>
  <c r="I1565" i="992"/>
  <c r="I1564" i="992" s="1"/>
  <c r="J1582" i="992"/>
  <c r="I1647" i="992"/>
  <c r="I1646" i="992" s="1"/>
  <c r="I1645" i="992" s="1"/>
  <c r="J106" i="992"/>
  <c r="I230" i="992"/>
  <c r="I226" i="992" s="1"/>
  <c r="I225" i="992" s="1"/>
  <c r="I219" i="992" s="1"/>
  <c r="J304" i="992"/>
  <c r="J303" i="992" s="1"/>
  <c r="J302" i="992" s="1"/>
  <c r="J376" i="992"/>
  <c r="J375" i="992" s="1"/>
  <c r="J392" i="992"/>
  <c r="J391" i="992" s="1"/>
  <c r="J390" i="992" s="1"/>
  <c r="J408" i="992"/>
  <c r="J407" i="992" s="1"/>
  <c r="L673" i="992"/>
  <c r="K856" i="992"/>
  <c r="K855" i="992" s="1"/>
  <c r="J988" i="992"/>
  <c r="K1097" i="992"/>
  <c r="L1241" i="992"/>
  <c r="K1449" i="992"/>
  <c r="K1480" i="992"/>
  <c r="K1565" i="992"/>
  <c r="K1564" i="992" s="1"/>
  <c r="I1581" i="992"/>
  <c r="K1614" i="992"/>
  <c r="I311" i="992"/>
  <c r="I310" i="992" s="1"/>
  <c r="L420" i="992"/>
  <c r="L428" i="992"/>
  <c r="J542" i="992"/>
  <c r="J660" i="992"/>
  <c r="K665" i="992"/>
  <c r="I995" i="992"/>
  <c r="I994" i="992" s="1"/>
  <c r="I988" i="992" s="1"/>
  <c r="I1108" i="992"/>
  <c r="M1108" i="992"/>
  <c r="M1097" i="992" s="1"/>
  <c r="J1114" i="992"/>
  <c r="K1581" i="992"/>
  <c r="J230" i="992"/>
  <c r="J226" i="992" s="1"/>
  <c r="J225" i="992" s="1"/>
  <c r="J219" i="992" s="1"/>
  <c r="I47" i="992"/>
  <c r="I248" i="992"/>
  <c r="L325" i="992"/>
  <c r="L324" i="992" s="1"/>
  <c r="I351" i="992"/>
  <c r="M374" i="992"/>
  <c r="M357" i="992" s="1"/>
  <c r="I382" i="992"/>
  <c r="K452" i="992"/>
  <c r="K451" i="992" s="1"/>
  <c r="M473" i="992"/>
  <c r="J482" i="992"/>
  <c r="J481" i="992" s="1"/>
  <c r="J480" i="992" s="1"/>
  <c r="K716" i="992"/>
  <c r="K715" i="992" s="1"/>
  <c r="K714" i="992" s="1"/>
  <c r="M737" i="992"/>
  <c r="M736" i="992" s="1"/>
  <c r="I773" i="992"/>
  <c r="L815" i="992"/>
  <c r="L799" i="992" s="1"/>
  <c r="L1134" i="992"/>
  <c r="I1204" i="992"/>
  <c r="J1291" i="992"/>
  <c r="J1290" i="992" s="1"/>
  <c r="K1401" i="992"/>
  <c r="K1400" i="992" s="1"/>
  <c r="I1603" i="992"/>
  <c r="I1622" i="992"/>
  <c r="J16" i="992"/>
  <c r="J15" i="992" s="1"/>
  <c r="J14" i="992" s="1"/>
  <c r="I56" i="992"/>
  <c r="I46" i="992" s="1"/>
  <c r="K303" i="992"/>
  <c r="K302" i="992" s="1"/>
  <c r="L311" i="992"/>
  <c r="L310" i="992" s="1"/>
  <c r="K328" i="992"/>
  <c r="M402" i="992"/>
  <c r="I412" i="992"/>
  <c r="K435" i="992"/>
  <c r="J445" i="992"/>
  <c r="M451" i="992"/>
  <c r="I487" i="992"/>
  <c r="K486" i="992"/>
  <c r="L541" i="992"/>
  <c r="L540" i="992" s="1"/>
  <c r="L539" i="992" s="1"/>
  <c r="L533" i="992" s="1"/>
  <c r="J615" i="992"/>
  <c r="J736" i="992"/>
  <c r="J845" i="992"/>
  <c r="J844" i="992" s="1"/>
  <c r="J843" i="992" s="1"/>
  <c r="J842" i="992" s="1"/>
  <c r="I1195" i="992"/>
  <c r="I1194" i="992" s="1"/>
  <c r="M1195" i="992"/>
  <c r="K1231" i="992"/>
  <c r="K1264" i="992"/>
  <c r="K1254" i="992" s="1"/>
  <c r="J1488" i="992"/>
  <c r="J1487" i="992" s="1"/>
  <c r="J1508" i="992"/>
  <c r="K46" i="992"/>
  <c r="M714" i="992"/>
  <c r="M713" i="992" s="1"/>
  <c r="J878" i="992"/>
  <c r="J895" i="992"/>
  <c r="J894" i="992" s="1"/>
  <c r="J925" i="992"/>
  <c r="I1401" i="992"/>
  <c r="I1400" i="992" s="1"/>
  <c r="I1377" i="992" s="1"/>
  <c r="K1437" i="992"/>
  <c r="J1480" i="992"/>
  <c r="I1591" i="992"/>
  <c r="I1580" i="992" s="1"/>
  <c r="I1614" i="992"/>
  <c r="I1602" i="992" s="1"/>
  <c r="J1619" i="992"/>
  <c r="J1614" i="992" s="1"/>
  <c r="M8" i="992"/>
  <c r="J306" i="992"/>
  <c r="J305" i="992" s="1"/>
  <c r="J337" i="992"/>
  <c r="J346" i="992"/>
  <c r="K346" i="992"/>
  <c r="M351" i="992"/>
  <c r="I359" i="992"/>
  <c r="I358" i="992" s="1"/>
  <c r="J378" i="992"/>
  <c r="J374" i="992" s="1"/>
  <c r="L402" i="992"/>
  <c r="I407" i="992"/>
  <c r="J416" i="992"/>
  <c r="J415" i="992" s="1"/>
  <c r="J424" i="992"/>
  <c r="J423" i="992" s="1"/>
  <c r="K428" i="992"/>
  <c r="L435" i="992"/>
  <c r="I451" i="992"/>
  <c r="L451" i="992"/>
  <c r="I486" i="992"/>
  <c r="J500" i="992"/>
  <c r="J499" i="992" s="1"/>
  <c r="J497" i="992" s="1"/>
  <c r="M541" i="992"/>
  <c r="M540" i="992" s="1"/>
  <c r="M539" i="992" s="1"/>
  <c r="M533" i="992" s="1"/>
  <c r="J547" i="992"/>
  <c r="J541" i="992" s="1"/>
  <c r="L660" i="992"/>
  <c r="I714" i="992"/>
  <c r="I747" i="992"/>
  <c r="K1055" i="992"/>
  <c r="K1054" i="992" s="1"/>
  <c r="K1076" i="992"/>
  <c r="K1158" i="992"/>
  <c r="J1410" i="992"/>
  <c r="K47" i="992"/>
  <c r="J10" i="992"/>
  <c r="J9" i="992" s="1"/>
  <c r="K15" i="992"/>
  <c r="K14" i="992" s="1"/>
  <c r="K8" i="992" s="1"/>
  <c r="K37" i="992"/>
  <c r="K36" i="992" s="1"/>
  <c r="K35" i="992" s="1"/>
  <c r="K121" i="992"/>
  <c r="J126" i="992"/>
  <c r="J18" i="992"/>
  <c r="J17" i="992" s="1"/>
  <c r="L8" i="992"/>
  <c r="L7" i="992" s="1"/>
  <c r="K22" i="992"/>
  <c r="K21" i="992" s="1"/>
  <c r="K68" i="992"/>
  <c r="J69" i="992"/>
  <c r="J68" i="992" s="1"/>
  <c r="J87" i="992"/>
  <c r="J86" i="992" s="1"/>
  <c r="J206" i="992"/>
  <c r="J205" i="992" s="1"/>
  <c r="J204" i="992" s="1"/>
  <c r="J203" i="992" s="1"/>
  <c r="J248" i="992"/>
  <c r="I35" i="992"/>
  <c r="I106" i="992"/>
  <c r="M106" i="992"/>
  <c r="I121" i="992"/>
  <c r="J1194" i="992"/>
  <c r="K338" i="992"/>
  <c r="K337" i="992" s="1"/>
  <c r="L346" i="992"/>
  <c r="K375" i="992"/>
  <c r="K374" i="992" s="1"/>
  <c r="K391" i="992"/>
  <c r="K390" i="992" s="1"/>
  <c r="L393" i="992"/>
  <c r="K415" i="992"/>
  <c r="K412" i="992" s="1"/>
  <c r="K423" i="992"/>
  <c r="K420" i="992" s="1"/>
  <c r="J427" i="992"/>
  <c r="J425" i="992" s="1"/>
  <c r="J450" i="992"/>
  <c r="J449" i="992" s="1"/>
  <c r="J448" i="992" s="1"/>
  <c r="J479" i="992"/>
  <c r="J478" i="992" s="1"/>
  <c r="J473" i="992" s="1"/>
  <c r="J491" i="992"/>
  <c r="J486" i="992" s="1"/>
  <c r="J557" i="992"/>
  <c r="J556" i="992" s="1"/>
  <c r="J553" i="992" s="1"/>
  <c r="K647" i="992"/>
  <c r="I665" i="992"/>
  <c r="M673" i="992"/>
  <c r="L737" i="992"/>
  <c r="L736" i="992" s="1"/>
  <c r="L713" i="992" s="1"/>
  <c r="J789" i="992"/>
  <c r="J788" i="992" s="1"/>
  <c r="J772" i="992" s="1"/>
  <c r="L788" i="992"/>
  <c r="K800" i="992"/>
  <c r="I889" i="992"/>
  <c r="I888" i="992" s="1"/>
  <c r="J980" i="992"/>
  <c r="J979" i="992" s="1"/>
  <c r="J978" i="992" s="1"/>
  <c r="J977" i="992" s="1"/>
  <c r="J976" i="992" s="1"/>
  <c r="K995" i="992"/>
  <c r="K994" i="992" s="1"/>
  <c r="K988" i="992" s="1"/>
  <c r="J996" i="992"/>
  <c r="J1055" i="992"/>
  <c r="J1054" i="992" s="1"/>
  <c r="K1442" i="992"/>
  <c r="J1443" i="992"/>
  <c r="J1442" i="992" s="1"/>
  <c r="J1558" i="992"/>
  <c r="J1557" i="992" s="1"/>
  <c r="J1556" i="992" s="1"/>
  <c r="J1549" i="992" s="1"/>
  <c r="J1592" i="992"/>
  <c r="J1591" i="992" s="1"/>
  <c r="I325" i="992"/>
  <c r="I324" i="992" s="1"/>
  <c r="J326" i="992"/>
  <c r="J325" i="992" s="1"/>
  <c r="L358" i="992"/>
  <c r="I420" i="992"/>
  <c r="I428" i="992"/>
  <c r="M428" i="992"/>
  <c r="J666" i="992"/>
  <c r="J665" i="992" s="1"/>
  <c r="I933" i="992"/>
  <c r="K1003" i="992"/>
  <c r="I1076" i="992"/>
  <c r="M1076" i="992"/>
  <c r="M1204" i="992"/>
  <c r="M1214" i="992"/>
  <c r="J1247" i="992"/>
  <c r="J1246" i="992" s="1"/>
  <c r="J1230" i="992" s="1"/>
  <c r="J1310" i="992"/>
  <c r="I1449" i="992"/>
  <c r="K1639" i="992"/>
  <c r="L336" i="992"/>
  <c r="L382" i="992"/>
  <c r="J409" i="992"/>
  <c r="J452" i="992"/>
  <c r="J910" i="992"/>
  <c r="J909" i="992" s="1"/>
  <c r="J1342" i="992"/>
  <c r="I1488" i="992"/>
  <c r="I1487" i="992" s="1"/>
  <c r="K1551" i="992"/>
  <c r="K1550" i="992" s="1"/>
  <c r="K1549" i="992" s="1"/>
  <c r="I337" i="992"/>
  <c r="I336" i="992" s="1"/>
  <c r="J459" i="992"/>
  <c r="K554" i="992"/>
  <c r="K553" i="992" s="1"/>
  <c r="K540" i="992" s="1"/>
  <c r="M746" i="992"/>
  <c r="I844" i="992"/>
  <c r="I843" i="992" s="1"/>
  <c r="I842" i="992" s="1"/>
  <c r="K1195" i="992"/>
  <c r="K1215" i="992"/>
  <c r="K1214" i="992" s="1"/>
  <c r="K1378" i="992"/>
  <c r="J1428" i="992"/>
  <c r="J1427" i="992" s="1"/>
  <c r="M1449" i="992"/>
  <c r="J502" i="992"/>
  <c r="E1673" i="992" s="1"/>
  <c r="L469" i="992"/>
  <c r="I357" i="992"/>
  <c r="I540" i="992"/>
  <c r="D1677" i="992" s="1"/>
  <c r="L105" i="992"/>
  <c r="L45" i="992" s="1"/>
  <c r="L502" i="992"/>
  <c r="L501" i="992" s="1"/>
  <c r="I247" i="992"/>
  <c r="I242" i="992" s="1"/>
  <c r="I241" i="992" s="1"/>
  <c r="B1700" i="992" s="1"/>
  <c r="L293" i="992"/>
  <c r="I502" i="992"/>
  <c r="M502" i="992"/>
  <c r="M501" i="992" s="1"/>
  <c r="I105" i="992"/>
  <c r="M105" i="992"/>
  <c r="J263" i="992"/>
  <c r="J262" i="992" s="1"/>
  <c r="K247" i="992"/>
  <c r="K242" i="992" s="1"/>
  <c r="K241" i="992" s="1"/>
  <c r="K67" i="992"/>
  <c r="M7" i="992"/>
  <c r="J247" i="992"/>
  <c r="J242" i="992" s="1"/>
  <c r="J241" i="992" s="1"/>
  <c r="E1671" i="992"/>
  <c r="J278" i="992"/>
  <c r="J277" i="992" s="1"/>
  <c r="F1671" i="992"/>
  <c r="K278" i="992"/>
  <c r="K277" i="992" s="1"/>
  <c r="J121" i="992"/>
  <c r="J105" i="992" s="1"/>
  <c r="K263" i="992"/>
  <c r="K262" i="992" s="1"/>
  <c r="B1699" i="992" s="1"/>
  <c r="D1671" i="992"/>
  <c r="I278" i="992"/>
  <c r="I277" i="992" s="1"/>
  <c r="I10" i="992"/>
  <c r="I9" i="992" s="1"/>
  <c r="I18" i="992"/>
  <c r="I17" i="992" s="1"/>
  <c r="J24" i="992"/>
  <c r="J23" i="992" s="1"/>
  <c r="J22" i="992" s="1"/>
  <c r="J21" i="992" s="1"/>
  <c r="J58" i="992"/>
  <c r="J57" i="992" s="1"/>
  <c r="J56" i="992" s="1"/>
  <c r="J46" i="992" s="1"/>
  <c r="I84" i="992"/>
  <c r="I81" i="992" s="1"/>
  <c r="I67" i="992" s="1"/>
  <c r="M293" i="992"/>
  <c r="J353" i="992"/>
  <c r="J352" i="992" s="1"/>
  <c r="J351" i="992" s="1"/>
  <c r="K352" i="992"/>
  <c r="K351" i="992" s="1"/>
  <c r="J395" i="992"/>
  <c r="J394" i="992" s="1"/>
  <c r="J393" i="992" s="1"/>
  <c r="K394" i="992"/>
  <c r="K393" i="992" s="1"/>
  <c r="I402" i="992"/>
  <c r="D1674" i="992"/>
  <c r="I511" i="992"/>
  <c r="D1675" i="992"/>
  <c r="I516" i="992"/>
  <c r="F1676" i="992"/>
  <c r="K534" i="992"/>
  <c r="E1678" i="992"/>
  <c r="F1678" i="992"/>
  <c r="J580" i="992"/>
  <c r="J574" i="992" s="1"/>
  <c r="I593" i="992"/>
  <c r="I592" i="992" s="1"/>
  <c r="I713" i="992"/>
  <c r="J321" i="992"/>
  <c r="J320" i="992" s="1"/>
  <c r="K320" i="992"/>
  <c r="J332" i="992"/>
  <c r="K331" i="992"/>
  <c r="J501" i="992"/>
  <c r="I293" i="992"/>
  <c r="J301" i="992"/>
  <c r="J295" i="992" s="1"/>
  <c r="J294" i="992" s="1"/>
  <c r="K295" i="992"/>
  <c r="K294" i="992" s="1"/>
  <c r="J323" i="992"/>
  <c r="J322" i="992" s="1"/>
  <c r="K322" i="992"/>
  <c r="M337" i="992"/>
  <c r="M336" i="992" s="1"/>
  <c r="K383" i="992"/>
  <c r="K382" i="992" s="1"/>
  <c r="K399" i="992"/>
  <c r="K398" i="992" s="1"/>
  <c r="K402" i="992"/>
  <c r="J451" i="992"/>
  <c r="F1674" i="992"/>
  <c r="K511" i="992"/>
  <c r="F1675" i="992"/>
  <c r="K516" i="992"/>
  <c r="D1678" i="992"/>
  <c r="K574" i="992"/>
  <c r="B1704" i="992" s="1"/>
  <c r="I580" i="992"/>
  <c r="I574" i="992" s="1"/>
  <c r="M593" i="992"/>
  <c r="M592" i="992" s="1"/>
  <c r="L592" i="992"/>
  <c r="J369" i="992"/>
  <c r="J368" i="992" s="1"/>
  <c r="K368" i="992"/>
  <c r="K358" i="992" s="1"/>
  <c r="I473" i="992"/>
  <c r="I469" i="992" s="1"/>
  <c r="D1672" i="992" s="1"/>
  <c r="I501" i="992"/>
  <c r="E1674" i="992"/>
  <c r="J511" i="992"/>
  <c r="E1675" i="992"/>
  <c r="J516" i="992"/>
  <c r="D1676" i="992"/>
  <c r="I534" i="992"/>
  <c r="E1676" i="992"/>
  <c r="J534" i="992"/>
  <c r="K449" i="992"/>
  <c r="K448" i="992" s="1"/>
  <c r="K499" i="992"/>
  <c r="K497" i="992" s="1"/>
  <c r="J749" i="992"/>
  <c r="J748" i="992" s="1"/>
  <c r="J747" i="992" s="1"/>
  <c r="K748" i="992"/>
  <c r="I767" i="992"/>
  <c r="I746" i="992" s="1"/>
  <c r="K786" i="992"/>
  <c r="K783" i="992" s="1"/>
  <c r="I833" i="992"/>
  <c r="I909" i="992"/>
  <c r="K933" i="992"/>
  <c r="J1003" i="992"/>
  <c r="M1044" i="992"/>
  <c r="M1043" i="992" s="1"/>
  <c r="L1044" i="992"/>
  <c r="L1043" i="992" s="1"/>
  <c r="I1121" i="992"/>
  <c r="J1121" i="992"/>
  <c r="I673" i="992"/>
  <c r="I783" i="992"/>
  <c r="I772" i="992" s="1"/>
  <c r="I800" i="992"/>
  <c r="M800" i="992"/>
  <c r="M799" i="992" s="1"/>
  <c r="J815" i="992"/>
  <c r="J799" i="992" s="1"/>
  <c r="J856" i="992"/>
  <c r="J855" i="992" s="1"/>
  <c r="K441" i="992"/>
  <c r="K443" i="992"/>
  <c r="K445" i="992"/>
  <c r="K478" i="992"/>
  <c r="K473" i="992" s="1"/>
  <c r="K738" i="992"/>
  <c r="K737" i="992" s="1"/>
  <c r="K736" i="992" s="1"/>
  <c r="K713" i="992" s="1"/>
  <c r="L772" i="992"/>
  <c r="K823" i="992"/>
  <c r="J889" i="992"/>
  <c r="J888" i="992" s="1"/>
  <c r="J949" i="992"/>
  <c r="I1003" i="992"/>
  <c r="I1044" i="992"/>
  <c r="I1043" i="992" s="1"/>
  <c r="J1044" i="992"/>
  <c r="J1043" i="992" s="1"/>
  <c r="L1076" i="992"/>
  <c r="I1097" i="992"/>
  <c r="J1113" i="992"/>
  <c r="J1097" i="992" s="1"/>
  <c r="K673" i="992"/>
  <c r="K705" i="992"/>
  <c r="K704" i="992" s="1"/>
  <c r="K703" i="992" s="1"/>
  <c r="K702" i="992" s="1"/>
  <c r="J706" i="992"/>
  <c r="J705" i="992" s="1"/>
  <c r="J704" i="992" s="1"/>
  <c r="J703" i="992" s="1"/>
  <c r="J702" i="992" s="1"/>
  <c r="K894" i="992"/>
  <c r="K889" i="992" s="1"/>
  <c r="K888" i="992" s="1"/>
  <c r="K979" i="992"/>
  <c r="K978" i="992" s="1"/>
  <c r="K977" i="992" s="1"/>
  <c r="K976" i="992" s="1"/>
  <c r="M1254" i="992"/>
  <c r="I1291" i="992"/>
  <c r="I1310" i="992"/>
  <c r="K1326" i="992"/>
  <c r="J1337" i="992"/>
  <c r="J1326" i="992" s="1"/>
  <c r="K1350" i="992"/>
  <c r="J1377" i="992"/>
  <c r="I1410" i="992"/>
  <c r="M1410" i="992"/>
  <c r="J1350" i="992"/>
  <c r="L1204" i="992"/>
  <c r="L1194" i="992" s="1"/>
  <c r="I1254" i="992"/>
  <c r="J1255" i="992"/>
  <c r="J1254" i="992" s="1"/>
  <c r="I1350" i="992"/>
  <c r="M1378" i="992"/>
  <c r="L1378" i="992"/>
  <c r="L1377" i="992" s="1"/>
  <c r="K1410" i="992"/>
  <c r="I1530" i="992"/>
  <c r="I1529" i="992" s="1"/>
  <c r="J1565" i="992"/>
  <c r="K1580" i="992"/>
  <c r="K1602" i="992"/>
  <c r="J1622" i="992"/>
  <c r="J1647" i="992"/>
  <c r="J1646" i="992" s="1"/>
  <c r="J1645" i="992" s="1"/>
  <c r="J1639" i="992" s="1"/>
  <c r="J1531" i="992"/>
  <c r="J1530" i="992" s="1"/>
  <c r="J1529" i="992" s="1"/>
  <c r="K1530" i="992"/>
  <c r="K1529" i="992" s="1"/>
  <c r="I1480" i="992"/>
  <c r="I1479" i="992" s="1"/>
  <c r="K1548" i="992"/>
  <c r="J1581" i="992"/>
  <c r="I1639" i="992"/>
  <c r="J1562" i="992"/>
  <c r="J1561" i="992" s="1"/>
  <c r="J1560" i="992" s="1"/>
  <c r="J1559" i="992" s="1"/>
  <c r="J1576" i="992"/>
  <c r="J1575" i="992" s="1"/>
  <c r="J1574" i="992" s="1"/>
  <c r="J1632" i="992"/>
  <c r="J1631" i="992" s="1"/>
  <c r="J1630" i="992" s="1"/>
  <c r="I34" i="990"/>
  <c r="I33" i="990"/>
  <c r="K293" i="992" l="1"/>
  <c r="K1194" i="992"/>
  <c r="M1230" i="992"/>
  <c r="I1426" i="992"/>
  <c r="I1409" i="992"/>
  <c r="I1376" i="992" s="1"/>
  <c r="J933" i="992"/>
  <c r="K1121" i="992"/>
  <c r="K1075" i="992" s="1"/>
  <c r="K1042" i="992" s="1"/>
  <c r="M1409" i="992"/>
  <c r="M1194" i="992"/>
  <c r="M1193" i="992" s="1"/>
  <c r="M401" i="992"/>
  <c r="J592" i="992"/>
  <c r="J591" i="992" s="1"/>
  <c r="L1426" i="992"/>
  <c r="L1409" i="992" s="1"/>
  <c r="L1097" i="992"/>
  <c r="K325" i="992"/>
  <c r="M1213" i="992"/>
  <c r="I1213" i="992"/>
  <c r="I1193" i="992" s="1"/>
  <c r="J420" i="992"/>
  <c r="J440" i="992"/>
  <c r="D1666" i="992"/>
  <c r="M1377" i="992"/>
  <c r="F1673" i="992"/>
  <c r="K1377" i="992"/>
  <c r="J646" i="992"/>
  <c r="J624" i="992" s="1"/>
  <c r="K1230" i="992"/>
  <c r="K1213" i="992" s="1"/>
  <c r="M772" i="992"/>
  <c r="M745" i="992" s="1"/>
  <c r="M712" i="992" s="1"/>
  <c r="J359" i="992"/>
  <c r="J358" i="992" s="1"/>
  <c r="J357" i="992" s="1"/>
  <c r="I855" i="992"/>
  <c r="L1376" i="992"/>
  <c r="K747" i="992"/>
  <c r="K746" i="992" s="1"/>
  <c r="I1290" i="992"/>
  <c r="J746" i="992"/>
  <c r="J745" i="992" s="1"/>
  <c r="M45" i="992"/>
  <c r="M6" i="992" s="1"/>
  <c r="I646" i="992"/>
  <c r="D1669" i="992" s="1"/>
  <c r="K105" i="992"/>
  <c r="K45" i="992" s="1"/>
  <c r="J1498" i="992"/>
  <c r="J1497" i="992" s="1"/>
  <c r="J713" i="992"/>
  <c r="L1121" i="992"/>
  <c r="L1075" i="992" s="1"/>
  <c r="L1042" i="992" s="1"/>
  <c r="L1230" i="992"/>
  <c r="L1213" i="992" s="1"/>
  <c r="L1193" i="992" s="1"/>
  <c r="I1498" i="992"/>
  <c r="I1497" i="992" s="1"/>
  <c r="I1326" i="992"/>
  <c r="I1309" i="992" s="1"/>
  <c r="J293" i="992"/>
  <c r="J1075" i="992"/>
  <c r="J1042" i="992" s="1"/>
  <c r="K887" i="992"/>
  <c r="K854" i="992" s="1"/>
  <c r="B1703" i="992" s="1"/>
  <c r="L357" i="992"/>
  <c r="K1479" i="992"/>
  <c r="K1478" i="992" s="1"/>
  <c r="M469" i="992"/>
  <c r="J540" i="992"/>
  <c r="J533" i="992" s="1"/>
  <c r="L401" i="992"/>
  <c r="I887" i="992"/>
  <c r="I854" i="992" s="1"/>
  <c r="M624" i="992"/>
  <c r="M591" i="992" s="1"/>
  <c r="K799" i="992"/>
  <c r="K311" i="992"/>
  <c r="K310" i="992" s="1"/>
  <c r="F1666" i="992" s="1"/>
  <c r="J336" i="992"/>
  <c r="J67" i="992"/>
  <c r="J45" i="992" s="1"/>
  <c r="J8" i="992"/>
  <c r="J7" i="992" s="1"/>
  <c r="J412" i="992"/>
  <c r="K1426" i="992"/>
  <c r="K1409" i="992" s="1"/>
  <c r="I1478" i="992"/>
  <c r="L745" i="992"/>
  <c r="L712" i="992" s="1"/>
  <c r="I1563" i="992"/>
  <c r="I1547" i="992" s="1"/>
  <c r="I1075" i="992"/>
  <c r="I1042" i="992" s="1"/>
  <c r="J1213" i="992"/>
  <c r="J1193" i="992" s="1"/>
  <c r="M1075" i="992"/>
  <c r="K772" i="992"/>
  <c r="L6" i="992"/>
  <c r="J1426" i="992"/>
  <c r="J1409" i="992" s="1"/>
  <c r="J1376" i="992" s="1"/>
  <c r="J402" i="992"/>
  <c r="K646" i="992"/>
  <c r="K624" i="992" s="1"/>
  <c r="K591" i="992" s="1"/>
  <c r="L646" i="992"/>
  <c r="L624" i="992" s="1"/>
  <c r="L591" i="992" s="1"/>
  <c r="I401" i="992"/>
  <c r="I335" i="992" s="1"/>
  <c r="K1309" i="992"/>
  <c r="K1289" i="992" s="1"/>
  <c r="D1673" i="992"/>
  <c r="J1479" i="992"/>
  <c r="K7" i="992"/>
  <c r="J1309" i="992"/>
  <c r="J1289" i="992" s="1"/>
  <c r="K469" i="992"/>
  <c r="F1672" i="992" s="1"/>
  <c r="K357" i="992"/>
  <c r="J469" i="992"/>
  <c r="E1672" i="992" s="1"/>
  <c r="J1548" i="992"/>
  <c r="K440" i="992"/>
  <c r="K401" i="992" s="1"/>
  <c r="J1602" i="992"/>
  <c r="K1563" i="992"/>
  <c r="K1547" i="992" s="1"/>
  <c r="J311" i="992"/>
  <c r="J310" i="992" s="1"/>
  <c r="E1666" i="992" s="1"/>
  <c r="K336" i="992"/>
  <c r="M1376" i="992"/>
  <c r="D1667" i="992"/>
  <c r="I533" i="992"/>
  <c r="L292" i="992"/>
  <c r="M292" i="992"/>
  <c r="D1668" i="992"/>
  <c r="I45" i="992"/>
  <c r="E1677" i="992"/>
  <c r="J1564" i="992"/>
  <c r="J887" i="992"/>
  <c r="J854" i="992" s="1"/>
  <c r="F1677" i="992"/>
  <c r="K533" i="992"/>
  <c r="F1665" i="992"/>
  <c r="J1580" i="992"/>
  <c r="I799" i="992"/>
  <c r="I745" i="992" s="1"/>
  <c r="I712" i="992" s="1"/>
  <c r="M1042" i="992"/>
  <c r="K330" i="992"/>
  <c r="J331" i="992"/>
  <c r="J330" i="992" s="1"/>
  <c r="J324" i="992" s="1"/>
  <c r="E1667" i="992" s="1"/>
  <c r="I8" i="992"/>
  <c r="I7" i="992" s="1"/>
  <c r="J87" i="3"/>
  <c r="J89" i="3"/>
  <c r="B1693" i="992" l="1"/>
  <c r="A1693" i="992"/>
  <c r="C1693" i="992"/>
  <c r="K1193" i="992"/>
  <c r="B1705" i="992" s="1"/>
  <c r="J1478" i="992"/>
  <c r="J292" i="992"/>
  <c r="K335" i="992"/>
  <c r="I291" i="992"/>
  <c r="I1652" i="992" s="1"/>
  <c r="K1376" i="992"/>
  <c r="I1289" i="992"/>
  <c r="F1668" i="992"/>
  <c r="K324" i="992"/>
  <c r="J712" i="992"/>
  <c r="E1668" i="992"/>
  <c r="M335" i="992"/>
  <c r="M291" i="992" s="1"/>
  <c r="M1661" i="992" s="1"/>
  <c r="M1652" i="992" s="1"/>
  <c r="I624" i="992"/>
  <c r="I591" i="992" s="1"/>
  <c r="K745" i="992"/>
  <c r="K712" i="992" s="1"/>
  <c r="B1702" i="992" s="1"/>
  <c r="E1665" i="992"/>
  <c r="L335" i="992"/>
  <c r="L291" i="992" s="1"/>
  <c r="L1661" i="992" s="1"/>
  <c r="L1652" i="992" s="1"/>
  <c r="F1670" i="992"/>
  <c r="J401" i="992"/>
  <c r="E1670" i="992" s="1"/>
  <c r="F1669" i="992"/>
  <c r="E1669" i="992"/>
  <c r="D1665" i="992"/>
  <c r="D1670" i="992"/>
  <c r="J1563" i="992"/>
  <c r="J1547" i="992" s="1"/>
  <c r="J39" i="3"/>
  <c r="J122" i="3"/>
  <c r="J124" i="3"/>
  <c r="J335" i="992" l="1"/>
  <c r="J291" i="992" s="1"/>
  <c r="J1652" i="992" s="1"/>
  <c r="B1698" i="992"/>
  <c r="F1667" i="992"/>
  <c r="F1681" i="992" s="1"/>
  <c r="K291" i="992"/>
  <c r="B1701" i="992" s="1"/>
  <c r="E1681" i="992"/>
  <c r="D1681" i="992"/>
  <c r="A1692" i="992"/>
  <c r="A1694" i="992" s="1"/>
  <c r="J75" i="3"/>
  <c r="J76" i="3"/>
  <c r="K1652" i="992" l="1"/>
  <c r="B1706" i="992"/>
  <c r="C1692" i="992"/>
  <c r="C1694" i="992" s="1"/>
  <c r="B1692" i="992"/>
  <c r="B1694" i="992" s="1"/>
  <c r="J52" i="3" l="1"/>
  <c r="J161" i="3" l="1"/>
  <c r="J250" i="3"/>
  <c r="J252" i="3"/>
  <c r="J8" i="3" l="1"/>
  <c r="J103" i="3"/>
  <c r="J61" i="3"/>
  <c r="J108" i="3"/>
  <c r="J116" i="3"/>
  <c r="J145" i="3"/>
  <c r="J154" i="3"/>
  <c r="J150" i="3"/>
  <c r="J152" i="3"/>
  <c r="J183" i="3"/>
  <c r="J132" i="3"/>
  <c r="J35" i="3" l="1"/>
  <c r="J88" i="3"/>
  <c r="K15" i="990"/>
  <c r="I14" i="3"/>
  <c r="J239" i="3" l="1"/>
  <c r="J235" i="3"/>
  <c r="J241" i="3"/>
  <c r="J244" i="3"/>
  <c r="K21" i="990"/>
  <c r="K24" i="990"/>
  <c r="K16" i="990"/>
  <c r="I16" i="990"/>
  <c r="H266" i="3" l="1"/>
  <c r="H265" i="3" s="1"/>
  <c r="H264" i="3" s="1"/>
  <c r="H263" i="3" s="1"/>
  <c r="H261" i="3"/>
  <c r="H260" i="3" s="1"/>
  <c r="H259" i="3" s="1"/>
  <c r="H257" i="3"/>
  <c r="H256" i="3" s="1"/>
  <c r="H255" i="3" s="1"/>
  <c r="H252" i="3"/>
  <c r="H251" i="3" s="1"/>
  <c r="H249" i="3"/>
  <c r="H246" i="3"/>
  <c r="H245" i="3" s="1"/>
  <c r="H244" i="3"/>
  <c r="H243" i="3" s="1"/>
  <c r="H241" i="3"/>
  <c r="H240" i="3"/>
  <c r="H239" i="3" s="1"/>
  <c r="H234" i="3"/>
  <c r="H233" i="3" s="1"/>
  <c r="H232" i="3" s="1"/>
  <c r="H231" i="3" s="1"/>
  <c r="H227" i="3"/>
  <c r="H226" i="3"/>
  <c r="H225" i="3" s="1"/>
  <c r="H224" i="3" s="1"/>
  <c r="H221" i="3"/>
  <c r="H220" i="3" s="1"/>
  <c r="H219" i="3" s="1"/>
  <c r="H218" i="3" s="1"/>
  <c r="H216" i="3"/>
  <c r="H215" i="3" s="1"/>
  <c r="H213" i="3"/>
  <c r="H211" i="3"/>
  <c r="H207" i="3"/>
  <c r="H206" i="3" s="1"/>
  <c r="H205" i="3" s="1"/>
  <c r="H203" i="3"/>
  <c r="H202" i="3" s="1"/>
  <c r="H199" i="3"/>
  <c r="H197" i="3"/>
  <c r="H196" i="3"/>
  <c r="H195" i="3" s="1"/>
  <c r="H192" i="3"/>
  <c r="H191" i="3" s="1"/>
  <c r="H190" i="3"/>
  <c r="H189" i="3" s="1"/>
  <c r="H188" i="3" s="1"/>
  <c r="H187" i="3"/>
  <c r="H186" i="3" s="1"/>
  <c r="H184" i="3"/>
  <c r="H183" i="3"/>
  <c r="H182" i="3" s="1"/>
  <c r="H179" i="3"/>
  <c r="H178" i="3" s="1"/>
  <c r="H175" i="3"/>
  <c r="H174" i="3" s="1"/>
  <c r="H173" i="3" s="1"/>
  <c r="H167" i="3"/>
  <c r="H165" i="3"/>
  <c r="H163" i="3"/>
  <c r="H161" i="3"/>
  <c r="H160" i="3" s="1"/>
  <c r="H158" i="3"/>
  <c r="H157" i="3" s="1"/>
  <c r="H156" i="3" s="1"/>
  <c r="H154" i="3"/>
  <c r="H153" i="3" s="1"/>
  <c r="H152" i="3"/>
  <c r="H151" i="3" s="1"/>
  <c r="H150" i="3"/>
  <c r="H149" i="3" s="1"/>
  <c r="H146" i="3"/>
  <c r="H144" i="3"/>
  <c r="H143" i="3" s="1"/>
  <c r="H141" i="3"/>
  <c r="H139" i="3"/>
  <c r="H137" i="3"/>
  <c r="H135" i="3"/>
  <c r="H133" i="3" s="1"/>
  <c r="H132" i="3"/>
  <c r="H131" i="3" s="1"/>
  <c r="H129" i="3"/>
  <c r="H126" i="3"/>
  <c r="H125" i="3" s="1"/>
  <c r="H124" i="3"/>
  <c r="H123" i="3" s="1"/>
  <c r="H122" i="3"/>
  <c r="H121" i="3"/>
  <c r="H119" i="3"/>
  <c r="H117" i="3"/>
  <c r="H116" i="3"/>
  <c r="H115" i="3" s="1"/>
  <c r="H113" i="3"/>
  <c r="H111" i="3"/>
  <c r="H107" i="3"/>
  <c r="H106" i="3" s="1"/>
  <c r="H104" i="3"/>
  <c r="H103" i="3"/>
  <c r="H102" i="3" s="1"/>
  <c r="H100" i="3"/>
  <c r="H99" i="3" s="1"/>
  <c r="H98" i="3" s="1"/>
  <c r="H97" i="3"/>
  <c r="H96" i="3" s="1"/>
  <c r="H95" i="3"/>
  <c r="H94" i="3" s="1"/>
  <c r="H93" i="3"/>
  <c r="H91" i="3" s="1"/>
  <c r="H89" i="3"/>
  <c r="H88" i="3" s="1"/>
  <c r="H87" i="3"/>
  <c r="H86" i="3" s="1"/>
  <c r="H83" i="3"/>
  <c r="H82" i="3"/>
  <c r="H81" i="3" s="1"/>
  <c r="H79" i="3"/>
  <c r="H77" i="3"/>
  <c r="H76" i="3"/>
  <c r="H75" i="3"/>
  <c r="H74" i="3" s="1"/>
  <c r="H70" i="3"/>
  <c r="H68" i="3"/>
  <c r="H67" i="3" s="1"/>
  <c r="H66" i="3" s="1"/>
  <c r="H65" i="3"/>
  <c r="H64" i="3" s="1"/>
  <c r="H61" i="3"/>
  <c r="H60" i="3" s="1"/>
  <c r="H59" i="3" s="1"/>
  <c r="H57" i="3"/>
  <c r="H55" i="3"/>
  <c r="H54" i="3"/>
  <c r="H53" i="3" s="1"/>
  <c r="H52" i="3"/>
  <c r="H51" i="3" s="1"/>
  <c r="H45" i="3"/>
  <c r="H44" i="3" s="1"/>
  <c r="H41" i="3"/>
  <c r="H39" i="3"/>
  <c r="H38" i="3" s="1"/>
  <c r="H35" i="3"/>
  <c r="H34" i="3" s="1"/>
  <c r="H33" i="3"/>
  <c r="H32" i="3" s="1"/>
  <c r="H31" i="3"/>
  <c r="H30" i="3" s="1"/>
  <c r="H28" i="3"/>
  <c r="H26" i="3"/>
  <c r="H25" i="3"/>
  <c r="H24" i="3" s="1"/>
  <c r="H20" i="3"/>
  <c r="H19" i="3" s="1"/>
  <c r="H18" i="3" s="1"/>
  <c r="H17" i="3"/>
  <c r="H16" i="3" s="1"/>
  <c r="H15" i="3" s="1"/>
  <c r="H12" i="3"/>
  <c r="H9" i="3"/>
  <c r="I72" i="990"/>
  <c r="I71" i="990" s="1"/>
  <c r="I70" i="990" s="1"/>
  <c r="I68" i="990"/>
  <c r="I67" i="990" s="1"/>
  <c r="I66" i="990" s="1"/>
  <c r="I62" i="990"/>
  <c r="I61" i="990" s="1"/>
  <c r="I60" i="990" s="1"/>
  <c r="I59" i="990" s="1"/>
  <c r="I56" i="990"/>
  <c r="I55" i="990" s="1"/>
  <c r="I54" i="990" s="1"/>
  <c r="I50" i="990"/>
  <c r="I49" i="990" s="1"/>
  <c r="I48" i="990" s="1"/>
  <c r="I47" i="990" s="1"/>
  <c r="I44" i="990"/>
  <c r="I43" i="990" s="1"/>
  <c r="I42" i="990" s="1"/>
  <c r="I41" i="990" s="1"/>
  <c r="I37" i="990"/>
  <c r="I36" i="990" s="1"/>
  <c r="I35" i="990" s="1"/>
  <c r="I31" i="990"/>
  <c r="I30" i="990" s="1"/>
  <c r="I29" i="990" s="1"/>
  <c r="I27" i="990"/>
  <c r="I26" i="990" s="1"/>
  <c r="I25" i="990" s="1"/>
  <c r="I24" i="990"/>
  <c r="I23" i="990" s="1"/>
  <c r="I22" i="990" s="1"/>
  <c r="I21" i="990"/>
  <c r="I20" i="990"/>
  <c r="I19" i="990" s="1"/>
  <c r="I14" i="990"/>
  <c r="I13" i="990" s="1"/>
  <c r="I12" i="990" s="1"/>
  <c r="I10" i="990"/>
  <c r="I9" i="990" s="1"/>
  <c r="I8" i="990" s="1"/>
  <c r="H8" i="3" l="1"/>
  <c r="H73" i="3"/>
  <c r="H136" i="3"/>
  <c r="H120" i="3"/>
  <c r="H90" i="3"/>
  <c r="H238" i="3"/>
  <c r="H37" i="3"/>
  <c r="H36" i="3" s="1"/>
  <c r="H159" i="3"/>
  <c r="I18" i="990"/>
  <c r="I7" i="990" s="1"/>
  <c r="H50" i="3"/>
  <c r="H49" i="3" s="1"/>
  <c r="H85" i="3"/>
  <c r="H148" i="3"/>
  <c r="I53" i="990"/>
  <c r="H7" i="3"/>
  <c r="H6" i="3" s="1"/>
  <c r="H23" i="3"/>
  <c r="H22" i="3" s="1"/>
  <c r="H101" i="3"/>
  <c r="H110" i="3"/>
  <c r="H210" i="3"/>
  <c r="H209" i="3"/>
  <c r="H208" i="3" s="1"/>
  <c r="H181" i="3"/>
  <c r="H177" i="3" s="1"/>
  <c r="H194" i="3"/>
  <c r="H128" i="3"/>
  <c r="H248" i="3"/>
  <c r="I65" i="990"/>
  <c r="I64" i="990" s="1"/>
  <c r="H5" i="3" l="1"/>
  <c r="H72" i="3"/>
  <c r="H109" i="3"/>
  <c r="H237" i="3"/>
  <c r="H236" i="3" s="1"/>
  <c r="H230" i="3" s="1"/>
  <c r="I74" i="990"/>
  <c r="H48" i="3" l="1"/>
  <c r="H4" i="3" s="1"/>
  <c r="H268" i="3" s="1"/>
  <c r="H10" i="991"/>
  <c r="H7" i="991"/>
  <c r="F10" i="991"/>
  <c r="F13" i="991" s="1"/>
  <c r="F7" i="991"/>
  <c r="H13" i="991" l="1"/>
  <c r="D10" i="991"/>
  <c r="D7" i="991"/>
  <c r="J31" i="3" l="1"/>
  <c r="J33" i="3"/>
  <c r="I21" i="991" l="1"/>
  <c r="J100" i="3" l="1"/>
  <c r="J93" i="3" l="1"/>
  <c r="J95" i="3"/>
  <c r="J207" i="3"/>
  <c r="J187" i="3"/>
  <c r="J135" i="3"/>
  <c r="J119" i="3" l="1"/>
  <c r="J82" i="3"/>
  <c r="J65" i="3" l="1"/>
  <c r="J99" i="3" l="1"/>
  <c r="K31" i="990"/>
  <c r="K30" i="990" s="1"/>
  <c r="K29" i="990" s="1"/>
  <c r="J32" i="990"/>
  <c r="J31" i="990" s="1"/>
  <c r="J30" i="990" s="1"/>
  <c r="J29" i="990" s="1"/>
  <c r="K27" i="990"/>
  <c r="K26" i="990" s="1"/>
  <c r="K25" i="990" s="1"/>
  <c r="J28" i="990"/>
  <c r="J27" i="990" s="1"/>
  <c r="J26" i="990" s="1"/>
  <c r="J25" i="990" s="1"/>
  <c r="J266" i="3" l="1"/>
  <c r="J265" i="3" s="1"/>
  <c r="J264" i="3" s="1"/>
  <c r="J263" i="3" s="1"/>
  <c r="I267" i="3"/>
  <c r="I266" i="3" s="1"/>
  <c r="I265" i="3" s="1"/>
  <c r="I264" i="3" s="1"/>
  <c r="I263" i="3" s="1"/>
  <c r="J58" i="990" l="1"/>
  <c r="K56" i="990" l="1"/>
  <c r="K55" i="990" s="1"/>
  <c r="J19" i="3"/>
  <c r="J15" i="990" l="1"/>
  <c r="J17" i="990" l="1"/>
  <c r="J16" i="990" s="1"/>
  <c r="I87" i="3" l="1"/>
  <c r="J126" i="3"/>
  <c r="J74" i="3"/>
  <c r="J53" i="3"/>
  <c r="J62" i="990" l="1"/>
  <c r="J91" i="3" l="1"/>
  <c r="J257" i="3"/>
  <c r="J256" i="3" s="1"/>
  <c r="K14" i="990" l="1"/>
  <c r="J203" i="3" l="1"/>
  <c r="J202" i="3" s="1"/>
  <c r="I204" i="3"/>
  <c r="I203" i="3" s="1"/>
  <c r="I202" i="3" s="1"/>
  <c r="K37" i="990" l="1"/>
  <c r="J77" i="3" l="1"/>
  <c r="J38" i="3" l="1"/>
  <c r="J249" i="3"/>
  <c r="J18" i="3" l="1"/>
  <c r="I21" i="3"/>
  <c r="I13" i="3"/>
  <c r="J24" i="990" l="1"/>
  <c r="I222" i="3" l="1"/>
  <c r="I223" i="3"/>
  <c r="J221" i="3"/>
  <c r="J220" i="3" l="1"/>
  <c r="I221" i="3"/>
  <c r="I220" i="3" l="1"/>
  <c r="J219" i="3"/>
  <c r="J218" i="3" l="1"/>
  <c r="I219" i="3"/>
  <c r="I218" i="3" l="1"/>
  <c r="I207" i="3" l="1"/>
  <c r="I17" i="3"/>
  <c r="I112" i="3" l="1"/>
  <c r="J133" i="3" l="1"/>
  <c r="J11" i="990" l="1"/>
  <c r="J14" i="990"/>
  <c r="J21" i="990"/>
  <c r="J20" i="990" s="1"/>
  <c r="K20" i="990" l="1"/>
  <c r="J23" i="990"/>
  <c r="K23" i="990"/>
  <c r="K44" i="990"/>
  <c r="K50" i="990"/>
  <c r="K61" i="990"/>
  <c r="J243" i="3" l="1"/>
  <c r="I244" i="3"/>
  <c r="I243" i="3" s="1"/>
  <c r="I124" i="3"/>
  <c r="I123" i="3" s="1"/>
  <c r="J123" i="3"/>
  <c r="J45" i="3"/>
  <c r="J41" i="3"/>
  <c r="I12" i="3"/>
  <c r="K43" i="990"/>
  <c r="J238" i="3" l="1"/>
  <c r="I9" i="3"/>
  <c r="J7" i="3" l="1"/>
  <c r="I193" i="3" l="1"/>
  <c r="L41" i="990" l="1"/>
  <c r="M41" i="990"/>
  <c r="N41" i="990"/>
  <c r="O41" i="990"/>
  <c r="K42" i="990"/>
  <c r="K41" i="990" s="1"/>
  <c r="J45" i="990"/>
  <c r="J44" i="990" l="1"/>
  <c r="J43" i="990" s="1"/>
  <c r="J42" i="990" s="1"/>
  <c r="J41" i="990" s="1"/>
  <c r="K36" i="990" l="1"/>
  <c r="J38" i="990"/>
  <c r="J37" i="990" s="1"/>
  <c r="J36" i="990" s="1"/>
  <c r="K10" i="990" l="1"/>
  <c r="J10" i="990"/>
  <c r="J9" i="990" s="1"/>
  <c r="J8" i="990" s="1"/>
  <c r="K9" i="990" l="1"/>
  <c r="K8" i="990" s="1"/>
  <c r="J117" i="3" l="1"/>
  <c r="J160" i="3"/>
  <c r="I119" i="3"/>
  <c r="I162" i="3"/>
  <c r="J60" i="3" l="1"/>
  <c r="I62" i="3"/>
  <c r="I63" i="3"/>
  <c r="I47" i="3"/>
  <c r="I43" i="3"/>
  <c r="I40" i="3"/>
  <c r="I10" i="3"/>
  <c r="I8" i="3" s="1"/>
  <c r="I252" i="3" l="1"/>
  <c r="J234" i="3"/>
  <c r="I240" i="3"/>
  <c r="I235" i="3"/>
  <c r="J246" i="3" l="1"/>
  <c r="J245" i="3" s="1"/>
  <c r="I247" i="3"/>
  <c r="I246" i="3" s="1"/>
  <c r="I245" i="3" s="1"/>
  <c r="J195" i="3"/>
  <c r="I196" i="3"/>
  <c r="I195" i="3" l="1"/>
  <c r="J69" i="990"/>
  <c r="J61" i="990"/>
  <c r="J57" i="990"/>
  <c r="J56" i="990" s="1"/>
  <c r="J51" i="990"/>
  <c r="J50" i="990" s="1"/>
  <c r="J67" i="3" l="1"/>
  <c r="J98" i="3" l="1"/>
  <c r="J30" i="3" l="1"/>
  <c r="J64" i="3" l="1"/>
  <c r="J26" i="3" l="1"/>
  <c r="I262" i="3" l="1"/>
  <c r="I258" i="3"/>
  <c r="I257" i="3" s="1"/>
  <c r="I256" i="3" s="1"/>
  <c r="I250" i="3"/>
  <c r="I242" i="3"/>
  <c r="I228" i="3"/>
  <c r="I217" i="3"/>
  <c r="I214" i="3"/>
  <c r="I212" i="3"/>
  <c r="I201" i="3"/>
  <c r="I200" i="3"/>
  <c r="I198" i="3"/>
  <c r="I190" i="3"/>
  <c r="I187" i="3"/>
  <c r="I185" i="3"/>
  <c r="I183" i="3"/>
  <c r="I180" i="3"/>
  <c r="I176" i="3"/>
  <c r="I172" i="3"/>
  <c r="I171" i="3"/>
  <c r="I170" i="3"/>
  <c r="I169" i="3"/>
  <c r="I168" i="3"/>
  <c r="I166" i="3"/>
  <c r="I164" i="3"/>
  <c r="I161" i="3"/>
  <c r="I158" i="3"/>
  <c r="I155" i="3"/>
  <c r="I154" i="3"/>
  <c r="I152" i="3"/>
  <c r="I150" i="3"/>
  <c r="I147" i="3"/>
  <c r="I145" i="3"/>
  <c r="I142" i="3"/>
  <c r="I140" i="3"/>
  <c r="I138" i="3"/>
  <c r="I135" i="3"/>
  <c r="I134" i="3"/>
  <c r="I132" i="3"/>
  <c r="I130" i="3"/>
  <c r="I127" i="3"/>
  <c r="I122" i="3"/>
  <c r="I118" i="3"/>
  <c r="I117" i="3" s="1"/>
  <c r="I116" i="3"/>
  <c r="I114" i="3"/>
  <c r="I108" i="3"/>
  <c r="I105" i="3"/>
  <c r="I103" i="3"/>
  <c r="I100" i="3"/>
  <c r="I97" i="3"/>
  <c r="I95" i="3"/>
  <c r="I93" i="3"/>
  <c r="I92" i="3"/>
  <c r="I89" i="3"/>
  <c r="I84" i="3"/>
  <c r="I82" i="3"/>
  <c r="I80" i="3"/>
  <c r="I78" i="3"/>
  <c r="I76" i="3"/>
  <c r="I75" i="3"/>
  <c r="I71" i="3"/>
  <c r="I69" i="3"/>
  <c r="I68" i="3"/>
  <c r="I65" i="3"/>
  <c r="I61" i="3"/>
  <c r="I60" i="3" s="1"/>
  <c r="I58" i="3"/>
  <c r="I56" i="3"/>
  <c r="I54" i="3"/>
  <c r="I52" i="3"/>
  <c r="I46" i="3"/>
  <c r="I42" i="3"/>
  <c r="I41" i="3" s="1"/>
  <c r="I39" i="3"/>
  <c r="I35" i="3"/>
  <c r="I33" i="3"/>
  <c r="I31" i="3"/>
  <c r="I29" i="3"/>
  <c r="I27" i="3"/>
  <c r="I25" i="3"/>
  <c r="I20" i="3"/>
  <c r="I19" i="3" s="1"/>
  <c r="I160" i="3" l="1"/>
  <c r="I38" i="3"/>
  <c r="I45" i="3"/>
  <c r="I239" i="3"/>
  <c r="J72" i="990" l="1"/>
  <c r="J71" i="990" s="1"/>
  <c r="K73" i="990"/>
  <c r="K72" i="990" s="1"/>
  <c r="K71" i="990" s="1"/>
  <c r="J68" i="990"/>
  <c r="J67" i="990" s="1"/>
  <c r="K68" i="990"/>
  <c r="K67" i="990" s="1"/>
  <c r="J60" i="990"/>
  <c r="K60" i="990"/>
  <c r="J55" i="990"/>
  <c r="J54" i="990" s="1"/>
  <c r="K54" i="990"/>
  <c r="J49" i="990"/>
  <c r="K49" i="990"/>
  <c r="K70" i="990" l="1"/>
  <c r="K66" i="990"/>
  <c r="K59" i="990"/>
  <c r="K48" i="990"/>
  <c r="K35" i="990"/>
  <c r="J70" i="990"/>
  <c r="J66" i="990"/>
  <c r="J59" i="990"/>
  <c r="J53" i="990" s="1"/>
  <c r="J48" i="990"/>
  <c r="J47" i="990" s="1"/>
  <c r="J35" i="990"/>
  <c r="J34" i="990" s="1"/>
  <c r="K47" i="990" l="1"/>
  <c r="K34" i="990"/>
  <c r="K53" i="990"/>
  <c r="J65" i="990"/>
  <c r="J64" i="990" s="1"/>
  <c r="K65" i="990"/>
  <c r="J261" i="3"/>
  <c r="J260" i="3" s="1"/>
  <c r="J259" i="3" s="1"/>
  <c r="J251" i="3"/>
  <c r="J233" i="3"/>
  <c r="J227" i="3"/>
  <c r="J216" i="3"/>
  <c r="J215" i="3" s="1"/>
  <c r="J211" i="3"/>
  <c r="J210" i="3" s="1"/>
  <c r="J197" i="3"/>
  <c r="J189" i="3"/>
  <c r="J186" i="3"/>
  <c r="J184" i="3"/>
  <c r="J179" i="3"/>
  <c r="J178" i="3" s="1"/>
  <c r="J175" i="3"/>
  <c r="J174" i="3" s="1"/>
  <c r="J173" i="3" s="1"/>
  <c r="J163" i="3"/>
  <c r="J157" i="3"/>
  <c r="J156" i="3" s="1"/>
  <c r="J151" i="3"/>
  <c r="J149" i="3"/>
  <c r="J146" i="3"/>
  <c r="J144" i="3"/>
  <c r="J139" i="3"/>
  <c r="J131" i="3"/>
  <c r="J121" i="3"/>
  <c r="J120" i="3" s="1"/>
  <c r="J107" i="3"/>
  <c r="J106" i="3" s="1"/>
  <c r="J104" i="3"/>
  <c r="J96" i="3"/>
  <c r="J86" i="3"/>
  <c r="J79" i="3"/>
  <c r="J70" i="3"/>
  <c r="J51" i="3"/>
  <c r="J44" i="3"/>
  <c r="J34" i="3"/>
  <c r="J32" i="3"/>
  <c r="J24" i="3"/>
  <c r="J16" i="3"/>
  <c r="J15" i="3" s="1"/>
  <c r="J255" i="3"/>
  <c r="J213" i="3"/>
  <c r="J206" i="3"/>
  <c r="J205" i="3" s="1"/>
  <c r="J192" i="3"/>
  <c r="J191" i="3" s="1"/>
  <c r="J182" i="3"/>
  <c r="J165" i="3"/>
  <c r="J153" i="3"/>
  <c r="J141" i="3"/>
  <c r="J137" i="3"/>
  <c r="J129" i="3"/>
  <c r="J125" i="3"/>
  <c r="J115" i="3"/>
  <c r="J113" i="3"/>
  <c r="J111" i="3"/>
  <c r="J102" i="3"/>
  <c r="J94" i="3"/>
  <c r="J83" i="3"/>
  <c r="J81" i="3"/>
  <c r="J57" i="3"/>
  <c r="J55" i="3"/>
  <c r="J28" i="3"/>
  <c r="I261" i="3"/>
  <c r="I260" i="3" s="1"/>
  <c r="I259" i="3" s="1"/>
  <c r="I255" i="3"/>
  <c r="I251" i="3"/>
  <c r="I249" i="3"/>
  <c r="I241" i="3"/>
  <c r="I238" i="3" s="1"/>
  <c r="I234" i="3"/>
  <c r="I233" i="3" s="1"/>
  <c r="I232" i="3" s="1"/>
  <c r="I231" i="3" s="1"/>
  <c r="I227" i="3"/>
  <c r="I216" i="3"/>
  <c r="I215" i="3" s="1"/>
  <c r="I213" i="3"/>
  <c r="I211" i="3"/>
  <c r="I210" i="3" s="1"/>
  <c r="I206" i="3"/>
  <c r="I205" i="3" s="1"/>
  <c r="I199" i="3"/>
  <c r="I197" i="3"/>
  <c r="I192" i="3"/>
  <c r="I191" i="3" s="1"/>
  <c r="I189" i="3"/>
  <c r="I188" i="3" s="1"/>
  <c r="I186" i="3"/>
  <c r="I184" i="3"/>
  <c r="I182" i="3"/>
  <c r="I179" i="3"/>
  <c r="I178" i="3" s="1"/>
  <c r="I175" i="3"/>
  <c r="I174" i="3" s="1"/>
  <c r="I173" i="3" s="1"/>
  <c r="I167" i="3"/>
  <c r="I165" i="3"/>
  <c r="I163" i="3"/>
  <c r="I157" i="3"/>
  <c r="I156" i="3" s="1"/>
  <c r="I153" i="3"/>
  <c r="I151" i="3"/>
  <c r="I149" i="3"/>
  <c r="I146" i="3"/>
  <c r="I144" i="3"/>
  <c r="I141" i="3"/>
  <c r="I139" i="3"/>
  <c r="I137" i="3"/>
  <c r="I133" i="3"/>
  <c r="I131" i="3"/>
  <c r="I129" i="3"/>
  <c r="I126" i="3"/>
  <c r="I125" i="3" s="1"/>
  <c r="I121" i="3"/>
  <c r="I120" i="3" s="1"/>
  <c r="I115" i="3"/>
  <c r="I113" i="3"/>
  <c r="I111" i="3"/>
  <c r="I107" i="3"/>
  <c r="I106" i="3" s="1"/>
  <c r="I104" i="3"/>
  <c r="I102" i="3"/>
  <c r="I99" i="3"/>
  <c r="I98" i="3" s="1"/>
  <c r="I96" i="3"/>
  <c r="I94" i="3"/>
  <c r="I91" i="3"/>
  <c r="I88" i="3"/>
  <c r="I86" i="3"/>
  <c r="I83" i="3"/>
  <c r="I81" i="3"/>
  <c r="I79" i="3"/>
  <c r="I77" i="3"/>
  <c r="I74" i="3"/>
  <c r="I70" i="3"/>
  <c r="I67" i="3"/>
  <c r="I64" i="3"/>
  <c r="I57" i="3"/>
  <c r="I55" i="3"/>
  <c r="I53" i="3"/>
  <c r="I51" i="3"/>
  <c r="I44" i="3"/>
  <c r="I34" i="3"/>
  <c r="I32" i="3"/>
  <c r="I30" i="3"/>
  <c r="I28" i="3"/>
  <c r="I26" i="3"/>
  <c r="I24" i="3"/>
  <c r="I18" i="3"/>
  <c r="I16" i="3"/>
  <c r="I15" i="3" s="1"/>
  <c r="I7" i="3"/>
  <c r="J232" i="3" l="1"/>
  <c r="J231" i="3" s="1"/>
  <c r="J6" i="3"/>
  <c r="I226" i="3"/>
  <c r="J226" i="3"/>
  <c r="K64" i="990"/>
  <c r="G9" i="991" s="1"/>
  <c r="J188" i="3"/>
  <c r="I194" i="3"/>
  <c r="J50" i="3"/>
  <c r="J59" i="3"/>
  <c r="J199" i="3"/>
  <c r="J194" i="3" s="1"/>
  <c r="J128" i="3"/>
  <c r="J90" i="3"/>
  <c r="J73" i="3"/>
  <c r="I59" i="3"/>
  <c r="E9" i="991"/>
  <c r="I37" i="3"/>
  <c r="I181" i="3"/>
  <c r="I148" i="3"/>
  <c r="J248" i="3"/>
  <c r="J209" i="3"/>
  <c r="J208" i="3" s="1"/>
  <c r="J167" i="3"/>
  <c r="J159" i="3" s="1"/>
  <c r="J143" i="3"/>
  <c r="J110" i="3"/>
  <c r="J85" i="3"/>
  <c r="J37" i="3"/>
  <c r="J23" i="3"/>
  <c r="J22" i="3" s="1"/>
  <c r="I159" i="3"/>
  <c r="I101" i="3"/>
  <c r="I85" i="3"/>
  <c r="I50" i="3"/>
  <c r="I73" i="3"/>
  <c r="I90" i="3"/>
  <c r="I143" i="3"/>
  <c r="J148" i="3"/>
  <c r="J181" i="3"/>
  <c r="I110" i="3"/>
  <c r="I136" i="3"/>
  <c r="I209" i="3"/>
  <c r="I208" i="3" s="1"/>
  <c r="I23" i="3"/>
  <c r="I22" i="3" s="1"/>
  <c r="I66" i="3"/>
  <c r="I128" i="3"/>
  <c r="I248" i="3"/>
  <c r="I237" i="3" s="1"/>
  <c r="I236" i="3" s="1"/>
  <c r="I230" i="3" s="1"/>
  <c r="J66" i="3"/>
  <c r="J101" i="3"/>
  <c r="J136" i="3"/>
  <c r="I6" i="3"/>
  <c r="J177" i="3" l="1"/>
  <c r="J237" i="3"/>
  <c r="J236" i="3" s="1"/>
  <c r="J230" i="3" s="1"/>
  <c r="I72" i="3"/>
  <c r="J72" i="3"/>
  <c r="O24" i="990"/>
  <c r="J49" i="3"/>
  <c r="I177" i="3"/>
  <c r="J109" i="3"/>
  <c r="J225" i="3"/>
  <c r="I225" i="3"/>
  <c r="I36" i="3"/>
  <c r="I5" i="3" s="1"/>
  <c r="J36" i="3"/>
  <c r="J5" i="3" s="1"/>
  <c r="O15" i="990"/>
  <c r="I49" i="3"/>
  <c r="I109" i="3"/>
  <c r="G12" i="991" l="1"/>
  <c r="I224" i="3"/>
  <c r="J224" i="3"/>
  <c r="I48" i="3"/>
  <c r="J48" i="3"/>
  <c r="I4" i="3" l="1"/>
  <c r="I268" i="3" s="1"/>
  <c r="J4" i="3"/>
  <c r="J268" i="3" s="1"/>
  <c r="M15" i="990" l="1"/>
  <c r="E11" i="991"/>
  <c r="G11" i="991"/>
  <c r="E12" i="991"/>
  <c r="E10" i="991" l="1"/>
  <c r="G10" i="991"/>
  <c r="C9" i="991" l="1"/>
  <c r="C8" i="991" l="1"/>
  <c r="C7" i="991" s="1"/>
  <c r="B7" i="991"/>
  <c r="C12" i="991" l="1"/>
  <c r="C11" i="991"/>
  <c r="B10" i="991" l="1"/>
  <c r="B13" i="991" s="1"/>
  <c r="C10" i="991"/>
  <c r="C13" i="991" s="1"/>
  <c r="M24" i="990" l="1"/>
  <c r="O21" i="990" l="1"/>
  <c r="J13" i="990"/>
  <c r="J12" i="990" s="1"/>
  <c r="K13" i="990"/>
  <c r="K12" i="990" s="1"/>
  <c r="C1699" i="992" s="1"/>
  <c r="J22" i="990" l="1"/>
  <c r="K22" i="990"/>
  <c r="J19" i="990"/>
  <c r="K19" i="990"/>
  <c r="K18" i="990" l="1"/>
  <c r="J18" i="990"/>
  <c r="J7" i="990" s="1"/>
  <c r="J5" i="990" s="1"/>
  <c r="J74" i="990" s="1"/>
  <c r="K7" i="990" l="1"/>
  <c r="K5" i="990" s="1"/>
  <c r="C1702" i="992"/>
  <c r="C1706" i="992" s="1"/>
  <c r="E1706" i="992" s="1"/>
  <c r="E8" i="991" l="1"/>
  <c r="E7" i="991" s="1"/>
  <c r="E13" i="991" s="1"/>
  <c r="G8" i="991"/>
  <c r="K74" i="990"/>
  <c r="G7" i="991" l="1"/>
  <c r="G13" i="991" s="1"/>
  <c r="M21" i="990" l="1"/>
</calcChain>
</file>

<file path=xl/sharedStrings.xml><?xml version="1.0" encoding="utf-8"?>
<sst xmlns="http://schemas.openxmlformats.org/spreadsheetml/2006/main" count="4491" uniqueCount="550">
  <si>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</si>
  <si>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</si>
  <si>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</si>
  <si>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</si>
  <si>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</si>
  <si>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</si>
  <si>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</si>
  <si>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</si>
  <si>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</si>
  <si>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</si>
  <si>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</si>
  <si>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</si>
  <si>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</si>
  <si>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</si>
  <si>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</si>
  <si>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</si>
  <si>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</si>
  <si>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</si>
  <si>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</si>
  <si>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</si>
  <si>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</si>
  <si>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</si>
  <si>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</si>
  <si>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</si>
  <si>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</si>
  <si>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</si>
  <si>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</si>
  <si>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</si>
  <si>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</si>
  <si>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</si>
  <si>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</si>
  <si>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</si>
  <si>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</si>
  <si>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</si>
  <si>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</si>
  <si>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</si>
  <si>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</si>
  <si>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</si>
  <si>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</si>
  <si>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</si>
  <si>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</si>
  <si>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</si>
  <si>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</si>
  <si>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</si>
  <si>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</si>
  <si>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</si>
  <si>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</si>
  <si>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</si>
  <si>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</si>
  <si>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</si>
  <si>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</si>
  <si>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</si>
  <si>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</si>
  <si>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</si>
  <si>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</si>
  <si>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</si>
  <si>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</si>
  <si>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</si>
  <si>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</si>
  <si>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</si>
  <si>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</si>
  <si>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</si>
  <si>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</si>
  <si>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</si>
  <si>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</si>
  <si>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</si>
  <si>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</si>
  <si>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</si>
  <si>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</si>
  <si>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</si>
  <si>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</si>
  <si>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</si>
  <si>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</si>
  <si>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</si>
  <si>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</si>
  <si>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</si>
  <si>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</si>
  <si>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</si>
  <si>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</si>
  <si>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</si>
  <si>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</si>
  <si>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</si>
  <si>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</si>
  <si>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</si>
  <si>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</si>
  <si>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</si>
  <si>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</si>
  <si>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</si>
  <si>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</si>
  <si>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</si>
  <si>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</si>
  <si>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</si>
  <si>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</si>
  <si>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</si>
  <si>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</si>
  <si>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</si>
  <si>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</si>
  <si>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</si>
  <si>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</si>
  <si>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</si>
  <si>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</si>
  <si>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</si>
  <si>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</si>
  <si>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</si>
  <si>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</si>
  <si>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</si>
  <si>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</si>
  <si>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</si>
  <si>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</si>
  <si>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</si>
  <si>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</si>
  <si>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</si>
  <si>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</si>
  <si>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</si>
  <si>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</si>
  <si>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</si>
  <si>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</si>
  <si>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</si>
  <si>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</si>
  <si>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</si>
  <si>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</si>
  <si>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</si>
  <si>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</si>
  <si>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</si>
  <si>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</si>
  <si>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</si>
  <si>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</si>
  <si>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</si>
  <si>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</si>
  <si>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</si>
  <si>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</si>
  <si>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</si>
  <si>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</si>
  <si>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</si>
  <si>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</si>
  <si>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</si>
  <si>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</si>
  <si>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</si>
  <si>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</si>
  <si>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</si>
  <si>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</si>
  <si>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</si>
  <si>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</si>
  <si>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</si>
  <si>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</si>
  <si>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</si>
  <si>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</si>
  <si>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</si>
  <si>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</si>
  <si>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</si>
  <si>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</si>
  <si>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</si>
  <si>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</si>
  <si>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</si>
  <si>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</si>
  <si>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</si>
  <si>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</si>
  <si>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</si>
  <si>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</si>
  <si>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</si>
  <si>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</si>
  <si>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</si>
  <si>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</si>
  <si>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</si>
  <si>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</si>
  <si>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</si>
  <si>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</si>
  <si>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</si>
  <si>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</si>
  <si>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</si>
  <si>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</si>
  <si>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</si>
  <si>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</si>
  <si>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</si>
  <si>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</si>
  <si>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</si>
  <si>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</si>
  <si>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</si>
  <si>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</si>
  <si>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</si>
  <si>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</si>
  <si>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</si>
  <si>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</si>
  <si>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</si>
  <si>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</si>
  <si>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</si>
  <si>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</si>
  <si>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</si>
  <si>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</si>
  <si>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</si>
  <si>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</si>
  <si>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</si>
  <si>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</si>
  <si>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</si>
  <si>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</si>
  <si>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</si>
  <si>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</si>
  <si>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</si>
  <si>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</si>
  <si>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</si>
  <si>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</si>
  <si>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</si>
  <si>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</si>
  <si>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</si>
  <si>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</si>
  <si>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</si>
  <si>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</si>
  <si>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</si>
  <si>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</si>
  <si>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</si>
  <si>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</si>
  <si>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</si>
  <si>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</si>
  <si>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</si>
  <si>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</si>
  <si>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</si>
  <si>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</si>
  <si>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</si>
  <si>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</si>
  <si>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</si>
  <si>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</si>
  <si>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</si>
  <si>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</si>
  <si>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</si>
  <si>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</si>
  <si>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</si>
  <si>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</si>
  <si>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</si>
  <si>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</si>
  <si>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</si>
  <si>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</si>
  <si>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</si>
  <si>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</si>
  <si>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</si>
  <si>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</si>
  <si>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</si>
  <si>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</si>
  <si>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</si>
  <si>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</si>
  <si>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</si>
  <si>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</si>
  <si>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</si>
  <si>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</si>
  <si>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</si>
  <si>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</si>
  <si>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</si>
  <si>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</si>
  <si>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</si>
  <si>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</si>
  <si>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</si>
  <si>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</si>
  <si>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</si>
  <si>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</si>
  <si>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</si>
  <si>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</si>
  <si>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</si>
  <si>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</si>
  <si>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</si>
  <si>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</si>
  <si>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</si>
  <si>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</si>
  <si>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</si>
  <si>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</si>
  <si>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</si>
  <si>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</si>
  <si>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</si>
  <si>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</si>
  <si>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</si>
  <si>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</si>
  <si>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</si>
  <si>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</si>
  <si>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</si>
  <si>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</si>
  <si>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</si>
  <si>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</si>
  <si>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</si>
  <si>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</si>
  <si>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</si>
  <si>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</si>
  <si>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</si>
  <si>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</si>
  <si>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</si>
  <si>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</si>
  <si>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</si>
  <si>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</si>
  <si>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</si>
  <si>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</si>
  <si>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</si>
  <si>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</si>
  <si>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</si>
  <si>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</si>
  <si>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</si>
  <si>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</si>
  <si>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</si>
  <si>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</si>
  <si>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</si>
  <si>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</si>
  <si>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</si>
  <si>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</si>
  <si>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</si>
  <si>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</si>
  <si>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</si>
  <si>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</si>
  <si>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</si>
  <si>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</si>
  <si>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</si>
  <si>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</si>
  <si>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</si>
  <si>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</si>
  <si>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</si>
  <si>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</si>
  <si>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</si>
  <si>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</si>
  <si>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</si>
  <si>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</si>
  <si>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</si>
  <si>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</si>
  <si>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</si>
  <si>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</si>
  <si>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</si>
  <si>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</si>
  <si>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</si>
  <si>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>Električna energija - opskrba</t>
  </si>
  <si>
    <t>Ostale naknade građanima i kućanstvima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</si>
  <si>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</si>
  <si>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</si>
  <si>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</si>
  <si>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</si>
  <si>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</si>
  <si>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</si>
  <si>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</si>
  <si>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</si>
  <si>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</si>
  <si>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</si>
  <si>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</si>
  <si>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</si>
  <si>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</si>
  <si>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</si>
  <si>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</si>
  <si>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</si>
  <si>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</si>
  <si>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</si>
  <si>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</si>
  <si>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</si>
  <si>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</si>
  <si>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</si>
  <si>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</si>
  <si>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</si>
  <si>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</si>
  <si>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</si>
  <si>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</si>
  <si>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</si>
  <si>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</si>
  <si>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</si>
  <si>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</si>
  <si>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</si>
  <si>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</si>
  <si>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</si>
  <si>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</si>
  <si>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</si>
  <si>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</si>
  <si>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</si>
  <si>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</si>
  <si>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</si>
  <si>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</si>
  <si>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</si>
  <si>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    </t>
  </si>
  <si>
    <t xml:space="preserve">Intelektualne i osobne usluge </t>
  </si>
  <si>
    <t>PROJEKCIJA PLANA ZA 2020.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</si>
  <si>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</si>
  <si>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</si>
  <si>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</si>
  <si>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</si>
  <si>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</si>
  <si>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</si>
  <si>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</si>
  <si>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</si>
  <si>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</si>
  <si>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</si>
  <si>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</si>
  <si>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</si>
  <si>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</si>
  <si>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</si>
  <si>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</si>
  <si>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</si>
  <si>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</si>
  <si>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</si>
  <si>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</si>
  <si>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</si>
  <si>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</si>
  <si>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</si>
  <si>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</si>
  <si>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</si>
  <si>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</si>
  <si>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</si>
  <si>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</si>
  <si>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</si>
  <si>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</si>
  <si>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</si>
  <si>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</si>
  <si>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</si>
  <si>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</si>
  <si>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</si>
  <si>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</si>
  <si>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</si>
  <si>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</si>
  <si>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</si>
  <si>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</si>
  <si>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</si>
  <si>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</si>
  <si>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</si>
  <si>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</si>
  <si>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</si>
  <si>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</si>
  <si>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</si>
  <si>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</si>
  <si>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</si>
  <si>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</si>
  <si>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</si>
  <si>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</si>
  <si>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</si>
  <si>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</si>
  <si>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</si>
  <si>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</si>
  <si>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</si>
  <si>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</si>
  <si>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</si>
  <si>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</si>
  <si>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>spec. epidemiolog</t>
  </si>
  <si>
    <t xml:space="preserve">Naknade ostalih troškova </t>
  </si>
  <si>
    <t>Hzzo</t>
  </si>
  <si>
    <t>VP</t>
  </si>
  <si>
    <t>MZ</t>
  </si>
  <si>
    <t>PV</t>
  </si>
  <si>
    <t>NP</t>
  </si>
  <si>
    <t>OPĆI</t>
  </si>
  <si>
    <t>PLAN PRIHODA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</si>
  <si>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</si>
  <si>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</si>
  <si>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</si>
  <si>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</si>
  <si>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</si>
  <si>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</si>
  <si>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</si>
  <si>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</si>
  <si>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</si>
  <si>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</si>
  <si>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</si>
  <si>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</si>
  <si>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</si>
  <si>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</si>
  <si>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</si>
  <si>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</si>
  <si>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</si>
  <si>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</si>
  <si>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</si>
  <si>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</si>
  <si>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</si>
  <si>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</si>
  <si>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</si>
  <si>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</si>
  <si>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</si>
  <si>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</si>
  <si>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</si>
  <si>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</si>
  <si>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</si>
  <si>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>3.1.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</si>
  <si>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</si>
  <si>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</si>
  <si>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</si>
  <si>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</si>
  <si>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MZ-prip</t>
  </si>
  <si>
    <t>Hzz-prip</t>
  </si>
  <si>
    <t>Plaće za zaposlene-pripravnost</t>
  </si>
  <si>
    <t>rashodi</t>
  </si>
  <si>
    <t>4.6.</t>
  </si>
  <si>
    <t>PRIHODI PO POSEBNIM PROPISIMA  (HZZO)</t>
  </si>
  <si>
    <t>7.2.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</si>
  <si>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</si>
  <si>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</si>
  <si>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</si>
  <si>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</si>
  <si>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</si>
  <si>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</si>
  <si>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NOVI PLAN:</t>
  </si>
  <si>
    <t>1.1.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</si>
  <si>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</si>
  <si>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</si>
  <si>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</si>
  <si>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</si>
  <si>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</si>
  <si>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</si>
  <si>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Tekući prijenosi između proračunskih korisnika istog proračuna - ZHM</t>
  </si>
  <si>
    <t>369111</t>
  </si>
  <si>
    <t>Plaće za zaposlene-razlika 6 %</t>
  </si>
  <si>
    <t>311113</t>
  </si>
  <si>
    <t>311411</t>
  </si>
  <si>
    <t>Plaće za posebne uvjete rada - Covid</t>
  </si>
  <si>
    <t xml:space="preserve">Tekuće pomoći od HZMO-a, HZZ-a, HZZO-a </t>
  </si>
  <si>
    <t>Sudske pristojbe</t>
  </si>
  <si>
    <t>Tekući prijenosi između proračunskih korisnika istog proračuna - ZHM, MR, OB</t>
  </si>
  <si>
    <t>PRIPRAVNICI - HZZ (preneseni višak)</t>
  </si>
  <si>
    <t>5.6.</t>
  </si>
  <si>
    <t>Prihodi iz nadležnog proračuna za financiranje rashoda poslovanja</t>
  </si>
  <si>
    <t>Prijenosi između proračunskih korisnika istoga proračuna</t>
  </si>
  <si>
    <t>Program 1085 UPRAVNI ODJEL ZA OBRAZOVANJE, KULTURU, ZNANOST, SPORT I NACIONALNE MANJINE</t>
  </si>
  <si>
    <t>Potprogram ZDRAVI, AKTIVNI I ONLINE</t>
  </si>
  <si>
    <t>POMOĆI IZ PRORAČUNA - EU ŽUPANIJA</t>
  </si>
  <si>
    <t>Rashodi za dodatna ulaganja na nefinancijskoj imovini</t>
  </si>
  <si>
    <t>Dodatna ulaganja na postrojenjima i opremi</t>
  </si>
  <si>
    <t>PLAN ZA 2023.</t>
  </si>
  <si>
    <t>NOVI PLAN 2023.</t>
  </si>
  <si>
    <t>PLAN 2023.</t>
  </si>
  <si>
    <t>5.8.</t>
  </si>
  <si>
    <t>Tekuće pomoći iz državnog proračuna temeljem prijenosa EU sredstava</t>
  </si>
  <si>
    <t>Pomoći temeljem prijenosa EU sredstava</t>
  </si>
  <si>
    <t>Tekuće pomoći temeljem prijenosa EU sredstava</t>
  </si>
  <si>
    <t>Tekući prijenosi između proračunskih korisnika istoga proračuna temeljem prijenosa EU sredstava</t>
  </si>
  <si>
    <t>IZVRŠENJE 2022.</t>
  </si>
  <si>
    <t>'IZVRŠENJE 2022.</t>
  </si>
  <si>
    <t xml:space="preserve">VIŠAK/MANJAK IZ PRETHODNIH GODINA KOJI ĆE SE RASPOREDITI </t>
  </si>
  <si>
    <t>UKUPAN DONOS VIŠKA/MANJKA IZ PRETHODNIH GODINA</t>
  </si>
  <si>
    <t>PLAN ZA 2023./EUR</t>
  </si>
  <si>
    <t>PLAN ZA 2023./kn</t>
  </si>
  <si>
    <t>POVEĆANJE/ SMANJENJE/kn</t>
  </si>
  <si>
    <t>NOVI PLAN 2023./kn</t>
  </si>
  <si>
    <t>POVEĆANJE/ SMANJENJE/EUR</t>
  </si>
  <si>
    <t>NOVI PLAN 2023./EUR</t>
  </si>
  <si>
    <t>PROJEKCIJA ZA 2024./EUR</t>
  </si>
  <si>
    <t>PROJEKCIJA ZA 2024./kn</t>
  </si>
  <si>
    <t>TT107008 Trening životnih vještina za prevenciju ovisnosti o alkoholu, kockanju i novim tehnologijama kod djece i mladih</t>
  </si>
  <si>
    <t>TT107008 Nabava opreme za projekt Trening životnih vještina za prevenciju ovisnosti o alkoholu, kockanju i novim tehnologijama kod djece i mladih</t>
  </si>
  <si>
    <t>T 100070 Savjetovalište za prevenciju prekomjerne tjelesne težine i debljine</t>
  </si>
  <si>
    <t>A100178 PRIPRAVNICI - MIZ, HZZ-A</t>
  </si>
  <si>
    <t>K100079 OPREMANJE ZAVODA ZA JAVNO ZDRAVSTVO</t>
  </si>
  <si>
    <t>A100122 REDOVNA DJELATNOST ZAVODA ZA JAVNO ZDRAVSTVO</t>
  </si>
  <si>
    <t>T100035  Prevencija rizika određenih čimbenika okoliša</t>
  </si>
  <si>
    <t xml:space="preserve">T100056 Zajedno protiv ovisnosti </t>
  </si>
  <si>
    <t xml:space="preserve">K100084 Nabava opreme za projekt Zajedno protiv ovisnosti </t>
  </si>
  <si>
    <t>T100044 Savjetovalište za reproduktivno zdravlje adolescenata</t>
  </si>
  <si>
    <t xml:space="preserve">T100007 Monitoring  </t>
  </si>
  <si>
    <t>T100113 Specijalizacija liječnika</t>
  </si>
  <si>
    <t xml:space="preserve">Kapitalne pomoći od HZMO-a, HZZ-a, HZZO-a </t>
  </si>
  <si>
    <t>Plaće za zaposlene-Privremeni dodatak</t>
  </si>
  <si>
    <t>311114</t>
  </si>
  <si>
    <t>Računala i računalna oprema - CK</t>
  </si>
  <si>
    <t>Ostala uredska oprema-CK</t>
  </si>
  <si>
    <t>3</t>
  </si>
  <si>
    <t>U Koprivnici 21.12.2023.</t>
  </si>
  <si>
    <r>
      <rPr>
        <b/>
        <sz val="14"/>
        <color indexed="8"/>
        <rFont val="Arial"/>
        <family val="2"/>
        <charset val="238"/>
      </rPr>
      <t xml:space="preserve"> II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2023.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</si>
</sst>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6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b/>
      <i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0070C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i/>
      <sz val="10"/>
      <color rgb="FF00B0F0"/>
      <name val="Arial"/>
      <family val="2"/>
      <charset val="238"/>
    </font>
    <font>
      <sz val="10"/>
      <color rgb="FF92D050"/>
      <name val="Arial"/>
      <family val="2"/>
      <charset val="238"/>
    </font>
    <font>
      <sz val="10"/>
      <color rgb="FF00B050"/>
      <name val="Arial"/>
      <family val="2"/>
      <charset val="238"/>
    </font>
    <font>
      <b/>
      <sz val="10"/>
      <color rgb="FF00B050"/>
      <name val="Arial"/>
      <family val="2"/>
      <charset val="238"/>
    </font>
    <font>
      <i/>
      <sz val="10"/>
      <color rgb="FF92D050"/>
      <name val="Arial"/>
      <family val="2"/>
      <charset val="238"/>
    </font>
    <font>
      <b/>
      <sz val="8"/>
      <name val="Arial"/>
      <family val="2"/>
      <charset val="238"/>
    </font>
    <font>
      <sz val="10"/>
      <color rgb="FF0070C0"/>
      <name val="Arial"/>
      <family val="2"/>
      <charset val="238"/>
    </font>
    <font>
      <sz val="10"/>
      <color theme="5" tint="-0.249977111117893"/>
      <name val="Arial"/>
      <family val="2"/>
      <charset val="238"/>
    </font>
    <font>
      <i/>
      <sz val="10"/>
      <color theme="5" tint="-0.249977111117893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9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CC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7" borderId="0" applyNumberFormat="0" applyBorder="0" applyAlignment="0" applyProtection="0"/>
    <xf numFmtId="0" fontId="8" fillId="15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21" borderId="0" applyNumberFormat="0" applyBorder="0" applyAlignment="0" applyProtection="0"/>
    <xf numFmtId="0" fontId="9" fillId="19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0" borderId="0" applyNumberFormat="0" applyBorder="0" applyAlignment="0" applyProtection="0"/>
    <xf numFmtId="0" fontId="9" fillId="23" borderId="0" applyNumberFormat="0" applyBorder="0" applyAlignment="0" applyProtection="0"/>
    <xf numFmtId="0" fontId="10" fillId="16" borderId="0" applyNumberFormat="0" applyBorder="0" applyAlignment="0" applyProtection="0"/>
    <xf numFmtId="0" fontId="11" fillId="24" borderId="8" applyNumberFormat="0" applyAlignment="0" applyProtection="0"/>
    <xf numFmtId="0" fontId="12" fillId="25" borderId="9" applyNumberFormat="0" applyAlignment="0" applyProtection="0"/>
    <xf numFmtId="0" fontId="13" fillId="0" borderId="0" applyNumberFormat="0" applyFill="0" applyBorder="0" applyAlignment="0" applyProtection="0"/>
    <xf numFmtId="0" fontId="14" fillId="14" borderId="0" applyNumberFormat="0" applyBorder="0" applyAlignment="0" applyProtection="0"/>
    <xf numFmtId="0" fontId="15" fillId="0" borderId="10" applyNumberFormat="0" applyFill="0" applyAlignment="0" applyProtection="0"/>
    <xf numFmtId="0" fontId="16" fillId="0" borderId="11" applyNumberFormat="0" applyFill="0" applyAlignment="0" applyProtection="0"/>
    <xf numFmtId="0" fontId="17" fillId="0" borderId="12" applyNumberFormat="0" applyFill="0" applyAlignment="0" applyProtection="0"/>
    <xf numFmtId="0" fontId="17" fillId="0" borderId="0" applyNumberFormat="0" applyFill="0" applyBorder="0" applyAlignment="0" applyProtection="0"/>
    <xf numFmtId="0" fontId="18" fillId="17" borderId="8" applyNumberFormat="0" applyAlignment="0" applyProtection="0"/>
    <xf numFmtId="0" fontId="5" fillId="0" borderId="14" applyNumberFormat="0" applyFill="0" applyAlignment="0" applyProtection="0"/>
    <xf numFmtId="0" fontId="19" fillId="17" borderId="0" applyNumberFormat="0" applyBorder="0" applyAlignment="0" applyProtection="0"/>
    <xf numFmtId="0" fontId="7" fillId="0" borderId="0"/>
    <xf numFmtId="0" fontId="6" fillId="12" borderId="7" applyNumberFormat="0" applyFont="0" applyAlignment="0" applyProtection="0"/>
    <xf numFmtId="0" fontId="20" fillId="24" borderId="13" applyNumberFormat="0" applyAlignment="0" applyProtection="0"/>
    <xf numFmtId="0" fontId="21" fillId="0" borderId="0" applyNumberFormat="0" applyFill="0" applyBorder="0" applyAlignment="0" applyProtection="0"/>
    <xf numFmtId="0" fontId="22" fillId="0" borderId="15" applyNumberFormat="0" applyFill="0" applyAlignment="0" applyProtection="0"/>
    <xf numFmtId="0" fontId="23" fillId="0" borderId="0"/>
  </cellStyleXfs>
  <cellXfs count="475">
    <xf numFmtId="0" fontId="0" fillId="0" borderId="0" xfId="0"/>
    <xf numFmtId="0" fontId="23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3" fontId="3" fillId="0" borderId="1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3" fillId="2" borderId="0" xfId="1" applyNumberFormat="1" applyFont="1" applyFill="1" applyBorder="1" applyAlignment="1" applyProtection="1">
      <alignment vertical="center" wrapText="1"/>
    </xf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0" fillId="0" borderId="0" xfId="0" applyFont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165" fontId="26" fillId="4" borderId="0" xfId="0" applyNumberFormat="1" applyFont="1" applyFill="1" applyBorder="1" applyAlignment="1">
      <alignment vertical="center"/>
    </xf>
    <xf numFmtId="165" fontId="4" fillId="27" borderId="1" xfId="0" applyNumberFormat="1" applyFont="1" applyFill="1" applyBorder="1" applyAlignment="1">
      <alignment horizontal="left" vertical="center"/>
    </xf>
    <xf numFmtId="165" fontId="26" fillId="27" borderId="0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29" fillId="0" borderId="0" xfId="0" applyNumberFormat="1" applyFont="1" applyFill="1" applyAlignment="1">
      <alignment horizontal="left" vertical="center"/>
    </xf>
    <xf numFmtId="165" fontId="30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0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7" fillId="0" borderId="0" xfId="0" applyNumberFormat="1" applyFont="1" applyFill="1" applyAlignment="1">
      <alignment horizontal="left" vertical="center"/>
    </xf>
    <xf numFmtId="165" fontId="26" fillId="0" borderId="0" xfId="0" applyNumberFormat="1" applyFont="1" applyFill="1" applyAlignment="1">
      <alignment horizontal="left" vertical="center"/>
    </xf>
    <xf numFmtId="165" fontId="27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0" fillId="0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3" fillId="7" borderId="1" xfId="0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0" fontId="3" fillId="9" borderId="1" xfId="0" quotePrefix="1" applyFont="1" applyFill="1" applyBorder="1" applyAlignment="1">
      <alignment horizontal="left" vertical="center"/>
    </xf>
    <xf numFmtId="165" fontId="3" fillId="26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0" fontId="26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29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29" fillId="0" borderId="0" xfId="0" applyNumberFormat="1" applyFont="1" applyFill="1" applyBorder="1" applyAlignment="1">
      <alignment vertical="center"/>
    </xf>
    <xf numFmtId="165" fontId="4" fillId="0" borderId="0" xfId="0" applyNumberFormat="1" applyFont="1" applyFill="1" applyAlignment="1">
      <alignment horizontal="left" vertical="center"/>
    </xf>
    <xf numFmtId="0" fontId="32" fillId="0" borderId="1" xfId="0" applyFont="1" applyBorder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5" fillId="0" borderId="0" xfId="1" applyNumberFormat="1" applyFont="1" applyFill="1" applyBorder="1" applyAlignment="1" applyProtection="1"/>
    <xf numFmtId="0" fontId="28" fillId="0" borderId="1" xfId="2" applyFont="1" applyBorder="1" applyAlignment="1">
      <alignment horizontal="center" vertical="center" textRotation="180" wrapText="1"/>
    </xf>
    <xf numFmtId="0" fontId="36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3" fontId="36" fillId="0" borderId="0" xfId="1" applyNumberFormat="1" applyFont="1" applyFill="1" applyBorder="1" applyAlignment="1" applyProtection="1"/>
    <xf numFmtId="3" fontId="35" fillId="0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5" fillId="7" borderId="0" xfId="1" applyNumberFormat="1" applyFont="1" applyFill="1" applyBorder="1" applyAlignment="1" applyProtection="1"/>
    <xf numFmtId="0" fontId="24" fillId="0" borderId="1" xfId="2" applyNumberFormat="1" applyFont="1" applyFill="1" applyBorder="1" applyAlignment="1" applyProtection="1">
      <alignment horizontal="right"/>
    </xf>
    <xf numFmtId="0" fontId="37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5" fillId="3" borderId="0" xfId="1" applyNumberFormat="1" applyFont="1" applyFill="1" applyBorder="1" applyAlignment="1" applyProtection="1"/>
    <xf numFmtId="3" fontId="38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0" fillId="0" borderId="0" xfId="2" applyFont="1" applyFill="1" applyBorder="1" applyAlignment="1"/>
    <xf numFmtId="0" fontId="38" fillId="0" borderId="0" xfId="1" applyNumberFormat="1" applyFont="1" applyFill="1" applyBorder="1" applyAlignment="1" applyProtection="1"/>
    <xf numFmtId="0" fontId="32" fillId="0" borderId="1" xfId="0" applyNumberFormat="1" applyFont="1" applyFill="1" applyBorder="1" applyAlignment="1">
      <alignment horizontal="center" vertical="center" wrapText="1"/>
    </xf>
    <xf numFmtId="0" fontId="41" fillId="0" borderId="0" xfId="1" applyNumberFormat="1" applyFont="1" applyFill="1" applyBorder="1" applyAlignment="1" applyProtection="1"/>
    <xf numFmtId="0" fontId="42" fillId="0" borderId="0" xfId="0" applyFont="1"/>
    <xf numFmtId="0" fontId="28" fillId="0" borderId="1" xfId="0" applyNumberFormat="1" applyFont="1" applyFill="1" applyBorder="1" applyAlignment="1">
      <alignment horizontal="left" vertical="center" textRotation="180" wrapText="1"/>
    </xf>
    <xf numFmtId="49" fontId="28" fillId="0" borderId="1" xfId="0" applyNumberFormat="1" applyFont="1" applyFill="1" applyBorder="1" applyAlignment="1">
      <alignment horizontal="center" vertical="center" textRotation="180" wrapText="1"/>
    </xf>
    <xf numFmtId="0" fontId="28" fillId="0" borderId="1" xfId="0" quotePrefix="1" applyNumberFormat="1" applyFont="1" applyFill="1" applyBorder="1" applyAlignment="1" applyProtection="1">
      <alignment horizontal="center" vertical="center"/>
    </xf>
    <xf numFmtId="0" fontId="28" fillId="0" borderId="1" xfId="0" applyNumberFormat="1" applyFont="1" applyFill="1" applyBorder="1" applyAlignment="1" applyProtection="1">
      <alignment wrapText="1"/>
    </xf>
    <xf numFmtId="0" fontId="24" fillId="0" borderId="1" xfId="0" applyNumberFormat="1" applyFont="1" applyFill="1" applyBorder="1" applyAlignment="1" applyProtection="1">
      <alignment wrapText="1"/>
    </xf>
    <xf numFmtId="49" fontId="24" fillId="0" borderId="1" xfId="0" applyNumberFormat="1" applyFont="1" applyFill="1" applyBorder="1" applyAlignment="1" applyProtection="1">
      <alignment horizontal="center" wrapText="1"/>
    </xf>
    <xf numFmtId="0" fontId="28" fillId="0" borderId="1" xfId="0" quotePrefix="1" applyNumberFormat="1" applyFont="1" applyFill="1" applyBorder="1" applyAlignment="1" applyProtection="1">
      <alignment horizontal="left" wrapText="1"/>
    </xf>
    <xf numFmtId="3" fontId="28" fillId="0" borderId="1" xfId="0" applyNumberFormat="1" applyFont="1" applyFill="1" applyBorder="1" applyAlignment="1" applyProtection="1">
      <alignment wrapText="1"/>
    </xf>
    <xf numFmtId="0" fontId="28" fillId="0" borderId="1" xfId="0" applyNumberFormat="1" applyFont="1" applyFill="1" applyBorder="1" applyAlignment="1" applyProtection="1">
      <alignment vertical="top" wrapText="1"/>
    </xf>
    <xf numFmtId="49" fontId="28" fillId="0" borderId="1" xfId="0" applyNumberFormat="1" applyFont="1" applyFill="1" applyBorder="1" applyAlignment="1" applyProtection="1">
      <alignment horizontal="center" wrapText="1"/>
    </xf>
    <xf numFmtId="0" fontId="28" fillId="0" borderId="1" xfId="0" applyNumberFormat="1" applyFont="1" applyFill="1" applyBorder="1" applyAlignment="1" applyProtection="1"/>
    <xf numFmtId="0" fontId="43" fillId="0" borderId="0" xfId="0" applyFont="1"/>
    <xf numFmtId="3" fontId="43" fillId="0" borderId="0" xfId="0" applyNumberFormat="1" applyFont="1"/>
    <xf numFmtId="3" fontId="43" fillId="0" borderId="0" xfId="0" applyNumberFormat="1" applyFont="1" applyFill="1"/>
    <xf numFmtId="0" fontId="24" fillId="0" borderId="1" xfId="0" applyNumberFormat="1" applyFont="1" applyFill="1" applyBorder="1" applyAlignment="1" applyProtection="1">
      <alignment vertical="top" wrapText="1"/>
    </xf>
    <xf numFmtId="0" fontId="28" fillId="0" borderId="1" xfId="0" applyNumberFormat="1" applyFont="1" applyFill="1" applyBorder="1" applyAlignment="1">
      <alignment vertical="center" wrapText="1"/>
    </xf>
    <xf numFmtId="0" fontId="24" fillId="0" borderId="6" xfId="0" applyNumberFormat="1" applyFont="1" applyFill="1" applyBorder="1" applyAlignment="1" applyProtection="1"/>
    <xf numFmtId="0" fontId="28" fillId="0" borderId="6" xfId="0" applyNumberFormat="1" applyFont="1" applyFill="1" applyBorder="1" applyAlignment="1" applyProtection="1"/>
    <xf numFmtId="0" fontId="28" fillId="0" borderId="6" xfId="0" applyNumberFormat="1" applyFont="1" applyFill="1" applyBorder="1" applyAlignment="1">
      <alignment vertical="center" wrapText="1"/>
    </xf>
    <xf numFmtId="0" fontId="28" fillId="0" borderId="6" xfId="0" applyNumberFormat="1" applyFont="1" applyFill="1" applyBorder="1" applyAlignment="1" applyProtection="1">
      <alignment wrapText="1"/>
    </xf>
    <xf numFmtId="0" fontId="24" fillId="0" borderId="6" xfId="0" applyNumberFormat="1" applyFont="1" applyFill="1" applyBorder="1" applyAlignment="1" applyProtection="1">
      <alignment wrapText="1"/>
    </xf>
    <xf numFmtId="0" fontId="28" fillId="0" borderId="1" xfId="0" applyNumberFormat="1" applyFont="1" applyFill="1" applyBorder="1" applyAlignment="1" applyProtection="1">
      <alignment horizontal="left" wrapText="1"/>
    </xf>
    <xf numFmtId="0" fontId="24" fillId="0" borderId="1" xfId="0" applyNumberFormat="1" applyFont="1" applyFill="1" applyBorder="1" applyAlignment="1" applyProtection="1"/>
    <xf numFmtId="0" fontId="28" fillId="0" borderId="1" xfId="0" applyFont="1" applyBorder="1"/>
    <xf numFmtId="0" fontId="24" fillId="0" borderId="1" xfId="0" applyFont="1" applyBorder="1"/>
    <xf numFmtId="0" fontId="28" fillId="0" borderId="1" xfId="0" applyNumberFormat="1" applyFont="1" applyFill="1" applyBorder="1" applyAlignment="1" applyProtection="1">
      <alignment horizontal="left"/>
    </xf>
    <xf numFmtId="0" fontId="44" fillId="0" borderId="0" xfId="0" applyFont="1"/>
    <xf numFmtId="3" fontId="42" fillId="0" borderId="0" xfId="0" applyNumberFormat="1" applyFont="1"/>
    <xf numFmtId="49" fontId="32" fillId="0" borderId="1" xfId="0" applyNumberFormat="1" applyFont="1" applyFill="1" applyBorder="1" applyAlignment="1">
      <alignment horizontal="center" vertical="center"/>
    </xf>
    <xf numFmtId="0" fontId="32" fillId="0" borderId="1" xfId="0" quotePrefix="1" applyNumberFormat="1" applyFont="1" applyFill="1" applyBorder="1" applyAlignment="1" applyProtection="1">
      <alignment horizontal="center" vertical="center"/>
    </xf>
    <xf numFmtId="0" fontId="45" fillId="0" borderId="0" xfId="0" applyFont="1"/>
    <xf numFmtId="0" fontId="48" fillId="0" borderId="1" xfId="0" applyNumberFormat="1" applyFont="1" applyFill="1" applyBorder="1" applyAlignment="1" applyProtection="1">
      <alignment wrapText="1"/>
    </xf>
    <xf numFmtId="0" fontId="47" fillId="0" borderId="1" xfId="0" applyNumberFormat="1" applyFont="1" applyFill="1" applyBorder="1" applyAlignment="1" applyProtection="1">
      <alignment wrapText="1"/>
    </xf>
    <xf numFmtId="0" fontId="48" fillId="0" borderId="6" xfId="0" applyNumberFormat="1" applyFont="1" applyFill="1" applyBorder="1" applyAlignment="1" applyProtection="1">
      <alignment wrapText="1"/>
    </xf>
    <xf numFmtId="0" fontId="48" fillId="0" borderId="1" xfId="0" applyNumberFormat="1" applyFont="1" applyFill="1" applyBorder="1" applyAlignment="1" applyProtection="1"/>
    <xf numFmtId="0" fontId="27" fillId="0" borderId="0" xfId="0" applyFont="1" applyAlignment="1">
      <alignment horizontal="right" vertical="center"/>
    </xf>
    <xf numFmtId="165" fontId="46" fillId="7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27" fillId="0" borderId="0" xfId="0" applyFont="1" applyAlignment="1">
      <alignment horizontal="center" vertical="center"/>
    </xf>
    <xf numFmtId="0" fontId="39" fillId="2" borderId="1" xfId="2" applyNumberFormat="1" applyFont="1" applyFill="1" applyBorder="1" applyAlignment="1" applyProtection="1">
      <alignment horizontal="right"/>
    </xf>
    <xf numFmtId="0" fontId="39" fillId="0" borderId="1" xfId="2" applyNumberFormat="1" applyFont="1" applyFill="1" applyBorder="1" applyAlignment="1" applyProtection="1">
      <alignment horizontal="right"/>
    </xf>
    <xf numFmtId="165" fontId="39" fillId="0" borderId="1" xfId="0" applyNumberFormat="1" applyFont="1" applyBorder="1" applyAlignment="1">
      <alignment horizontal="right" vertical="center"/>
    </xf>
    <xf numFmtId="0" fontId="39" fillId="0" borderId="0" xfId="0" applyFont="1" applyFill="1" applyAlignment="1">
      <alignment horizontal="left" vertical="center"/>
    </xf>
    <xf numFmtId="0" fontId="39" fillId="0" borderId="0" xfId="0" applyFont="1" applyAlignment="1">
      <alignment horizontal="left" vertical="center"/>
    </xf>
    <xf numFmtId="165" fontId="39" fillId="3" borderId="1" xfId="0" applyNumberFormat="1" applyFont="1" applyFill="1" applyBorder="1" applyAlignment="1">
      <alignment vertical="center"/>
    </xf>
    <xf numFmtId="165" fontId="31" fillId="0" borderId="0" xfId="0" applyNumberFormat="1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39" fillId="0" borderId="0" xfId="0" applyNumberFormat="1" applyFont="1" applyFill="1" applyAlignment="1">
      <alignment horizontal="left" vertical="center"/>
    </xf>
    <xf numFmtId="165" fontId="39" fillId="3" borderId="1" xfId="0" applyNumberFormat="1" applyFont="1" applyFill="1" applyBorder="1" applyAlignment="1">
      <alignment horizontal="right" vertical="center"/>
    </xf>
    <xf numFmtId="165" fontId="39" fillId="0" borderId="1" xfId="0" applyNumberFormat="1" applyFont="1" applyBorder="1" applyAlignment="1">
      <alignment vertical="center"/>
    </xf>
    <xf numFmtId="165" fontId="31" fillId="0" borderId="1" xfId="0" applyNumberFormat="1" applyFont="1" applyBorder="1" applyAlignment="1">
      <alignment horizontal="right" vertical="center"/>
    </xf>
    <xf numFmtId="0" fontId="31" fillId="6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52" fillId="0" borderId="1" xfId="0" applyNumberFormat="1" applyFont="1" applyFill="1" applyBorder="1" applyAlignment="1" applyProtection="1">
      <alignment wrapText="1"/>
    </xf>
    <xf numFmtId="0" fontId="52" fillId="0" borderId="3" xfId="0" applyNumberFormat="1" applyFont="1" applyFill="1" applyBorder="1" applyAlignment="1" applyProtection="1">
      <alignment wrapText="1"/>
    </xf>
    <xf numFmtId="0" fontId="53" fillId="0" borderId="1" xfId="0" applyNumberFormat="1" applyFont="1" applyFill="1" applyBorder="1" applyAlignment="1" applyProtection="1">
      <alignment wrapText="1"/>
    </xf>
    <xf numFmtId="0" fontId="53" fillId="0" borderId="1" xfId="0" applyNumberFormat="1" applyFont="1" applyFill="1" applyBorder="1" applyAlignment="1" applyProtection="1">
      <alignment vertical="top" wrapText="1"/>
    </xf>
    <xf numFmtId="0" fontId="54" fillId="0" borderId="0" xfId="0" applyFont="1"/>
    <xf numFmtId="4" fontId="54" fillId="0" borderId="0" xfId="0" applyNumberFormat="1" applyFont="1"/>
    <xf numFmtId="0" fontId="55" fillId="0" borderId="0" xfId="0" applyFont="1"/>
    <xf numFmtId="3" fontId="0" fillId="0" borderId="0" xfId="0" applyNumberFormat="1"/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1" fontId="39" fillId="0" borderId="1" xfId="0" applyNumberFormat="1" applyFont="1" applyFill="1" applyBorder="1" applyAlignment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4" fillId="0" borderId="1" xfId="0" quotePrefix="1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 wrapText="1"/>
    </xf>
    <xf numFmtId="49" fontId="24" fillId="0" borderId="0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8" fillId="0" borderId="3" xfId="0" applyNumberFormat="1" applyFont="1" applyFill="1" applyBorder="1" applyAlignment="1" applyProtection="1">
      <alignment wrapText="1"/>
    </xf>
    <xf numFmtId="0" fontId="56" fillId="2" borderId="1" xfId="2" applyNumberFormat="1" applyFont="1" applyFill="1" applyBorder="1" applyAlignment="1" applyProtection="1">
      <alignment horizontal="right"/>
    </xf>
    <xf numFmtId="0" fontId="56" fillId="0" borderId="1" xfId="2" applyFont="1" applyBorder="1" applyAlignment="1"/>
    <xf numFmtId="0" fontId="56" fillId="0" borderId="1" xfId="2" applyFont="1" applyFill="1" applyBorder="1" applyAlignment="1">
      <alignment wrapText="1"/>
    </xf>
    <xf numFmtId="0" fontId="56" fillId="0" borderId="1" xfId="2" applyNumberFormat="1" applyFont="1" applyFill="1" applyBorder="1" applyAlignment="1" applyProtection="1">
      <alignment horizontal="right"/>
    </xf>
    <xf numFmtId="0" fontId="56" fillId="0" borderId="1" xfId="2" applyFont="1" applyFill="1" applyBorder="1" applyAlignment="1">
      <alignment horizontal="left"/>
    </xf>
    <xf numFmtId="3" fontId="56" fillId="0" borderId="1" xfId="1" applyNumberFormat="1" applyFont="1" applyFill="1" applyBorder="1" applyAlignment="1">
      <alignment horizontal="right" wrapText="1"/>
    </xf>
    <xf numFmtId="0" fontId="56" fillId="3" borderId="1" xfId="2" applyNumberFormat="1" applyFont="1" applyFill="1" applyBorder="1" applyAlignment="1" applyProtection="1">
      <alignment horizontal="right"/>
    </xf>
    <xf numFmtId="0" fontId="56" fillId="2" borderId="3" xfId="2" applyNumberFormat="1" applyFont="1" applyFill="1" applyBorder="1" applyAlignment="1" applyProtection="1">
      <alignment horizontal="right"/>
    </xf>
    <xf numFmtId="0" fontId="27" fillId="0" borderId="0" xfId="0" applyFont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57" fillId="0" borderId="0" xfId="0" applyNumberFormat="1" applyFont="1" applyFill="1" applyAlignment="1">
      <alignment horizontal="center" vertical="center"/>
    </xf>
    <xf numFmtId="0" fontId="28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8" fillId="0" borderId="1" xfId="2" applyFont="1" applyFill="1" applyBorder="1" applyAlignment="1">
      <alignment horizontal="center" vertical="center" textRotation="180" wrapText="1"/>
    </xf>
    <xf numFmtId="49" fontId="28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56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8" fillId="0" borderId="1" xfId="0" applyNumberFormat="1" applyFont="1" applyFill="1" applyBorder="1" applyAlignment="1">
      <alignment horizontal="right" vertical="center" textRotation="180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center" vertical="center" wrapText="1"/>
    </xf>
    <xf numFmtId="1" fontId="24" fillId="0" borderId="1" xfId="0" applyNumberFormat="1" applyFont="1" applyFill="1" applyBorder="1" applyAlignment="1">
      <alignment horizontal="center" vertical="center" wrapText="1"/>
    </xf>
    <xf numFmtId="1" fontId="28" fillId="0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horizontal="right" vertical="center" wrapText="1"/>
    </xf>
    <xf numFmtId="1" fontId="24" fillId="0" borderId="1" xfId="0" applyNumberFormat="1" applyFont="1" applyFill="1" applyBorder="1" applyAlignment="1">
      <alignment horizontal="left" vertical="center" wrapText="1"/>
    </xf>
    <xf numFmtId="0" fontId="28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8" fillId="0" borderId="1" xfId="0" applyFont="1" applyFill="1" applyBorder="1" applyAlignment="1">
      <alignment horizontal="center" vertical="center" wrapText="1"/>
    </xf>
    <xf numFmtId="1" fontId="31" fillId="0" borderId="1" xfId="0" applyNumberFormat="1" applyFont="1" applyFill="1" applyBorder="1" applyAlignment="1">
      <alignment horizontal="right" vertical="center" wrapText="1"/>
    </xf>
    <xf numFmtId="0" fontId="24" fillId="0" borderId="1" xfId="0" applyFont="1" applyFill="1" applyBorder="1" applyAlignment="1">
      <alignment horizontal="center" vertical="center"/>
    </xf>
    <xf numFmtId="1" fontId="28" fillId="0" borderId="1" xfId="0" applyNumberFormat="1" applyFont="1" applyFill="1" applyBorder="1" applyAlignment="1">
      <alignment horizontal="center" vertical="center" wrapText="1"/>
    </xf>
    <xf numFmtId="0" fontId="24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49" fillId="0" borderId="1" xfId="0" applyNumberFormat="1" applyFont="1" applyFill="1" applyBorder="1" applyAlignment="1">
      <alignment horizontal="right" vertical="center" wrapText="1"/>
    </xf>
    <xf numFmtId="1" fontId="49" fillId="0" borderId="1" xfId="0" applyNumberFormat="1" applyFont="1" applyFill="1" applyBorder="1" applyAlignment="1">
      <alignment horizontal="left" vertical="center" wrapText="1"/>
    </xf>
    <xf numFmtId="0" fontId="51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4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50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3" fillId="28" borderId="1" xfId="0" quotePrefix="1" applyFont="1" applyFill="1" applyBorder="1" applyAlignment="1">
      <alignment horizontal="right" vertical="center"/>
    </xf>
    <xf numFmtId="0" fontId="3" fillId="28" borderId="1" xfId="0" quotePrefix="1" applyFont="1" applyFill="1" applyBorder="1" applyAlignment="1">
      <alignment horizontal="left" vertical="center"/>
    </xf>
    <xf numFmtId="0" fontId="28" fillId="28" borderId="1" xfId="0" quotePrefix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" fillId="28" borderId="1" xfId="0" applyNumberFormat="1" applyFont="1" applyFill="1" applyBorder="1" applyAlignment="1">
      <alignment horizontal="right" vertical="center" wrapText="1"/>
    </xf>
    <xf numFmtId="1" fontId="28" fillId="28" borderId="1" xfId="0" applyNumberFormat="1" applyFont="1" applyFill="1" applyBorder="1" applyAlignment="1">
      <alignment horizontal="center" vertical="center" wrapText="1"/>
    </xf>
    <xf numFmtId="1" fontId="24" fillId="28" borderId="1" xfId="0" applyNumberFormat="1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1" fontId="59" fillId="0" borderId="1" xfId="0" applyNumberFormat="1" applyFont="1" applyFill="1" applyBorder="1" applyAlignment="1">
      <alignment horizontal="left" vertical="center" wrapText="1"/>
    </xf>
    <xf numFmtId="49" fontId="59" fillId="0" borderId="1" xfId="0" applyNumberFormat="1" applyFont="1" applyFill="1" applyBorder="1" applyAlignment="1">
      <alignment horizontal="left" vertical="center" wrapText="1"/>
    </xf>
    <xf numFmtId="1" fontId="60" fillId="0" borderId="1" xfId="0" applyNumberFormat="1" applyFont="1" applyFill="1" applyBorder="1" applyAlignment="1">
      <alignment horizontal="left" vertical="center" wrapText="1"/>
    </xf>
    <xf numFmtId="1" fontId="3" fillId="6" borderId="1" xfId="0" applyNumberFormat="1" applyFont="1" applyFill="1" applyBorder="1" applyAlignment="1">
      <alignment horizontal="right" vertical="center" wrapText="1"/>
    </xf>
    <xf numFmtId="1" fontId="3" fillId="6" borderId="1" xfId="0" applyNumberFormat="1" applyFont="1" applyFill="1" applyBorder="1" applyAlignment="1">
      <alignment horizontal="left" vertical="center" wrapText="1"/>
    </xf>
    <xf numFmtId="4" fontId="29" fillId="3" borderId="0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 applyAlignment="1">
      <alignment horizontal="center" vertical="center"/>
    </xf>
    <xf numFmtId="1" fontId="56" fillId="0" borderId="1" xfId="0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/>
    <xf numFmtId="49" fontId="49" fillId="0" borderId="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/>
    <xf numFmtId="0" fontId="56" fillId="0" borderId="1" xfId="2" applyFont="1" applyFill="1" applyBorder="1" applyAlignment="1">
      <alignment horizontal="left" wrapText="1"/>
    </xf>
    <xf numFmtId="0" fontId="56" fillId="0" borderId="1" xfId="2" applyFont="1" applyFill="1" applyBorder="1" applyAlignment="1"/>
    <xf numFmtId="3" fontId="56" fillId="0" borderId="1" xfId="2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Alignment="1">
      <alignment horizontal="left" vertical="center"/>
    </xf>
    <xf numFmtId="4" fontId="27" fillId="0" borderId="0" xfId="0" applyNumberFormat="1" applyFont="1" applyFill="1" applyAlignment="1">
      <alignment horizontal="left" vertical="center"/>
    </xf>
    <xf numFmtId="4" fontId="26" fillId="0" borderId="0" xfId="0" applyNumberFormat="1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4" fontId="27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2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7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3" fontId="28" fillId="0" borderId="1" xfId="0" applyNumberFormat="1" applyFont="1" applyFill="1" applyBorder="1" applyAlignment="1">
      <alignment horizontal="center" vertical="center" wrapText="1"/>
    </xf>
    <xf numFmtId="3" fontId="32" fillId="0" borderId="1" xfId="0" applyNumberFormat="1" applyFont="1" applyFill="1" applyBorder="1" applyAlignment="1">
      <alignment horizontal="center" vertical="center"/>
    </xf>
    <xf numFmtId="3" fontId="4" fillId="28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28" borderId="1" xfId="0" applyNumberFormat="1" applyFont="1" applyFill="1" applyBorder="1" applyAlignment="1">
      <alignment horizontal="left" vertical="center" wrapText="1"/>
    </xf>
    <xf numFmtId="3" fontId="3" fillId="28" borderId="1" xfId="0" quotePrefix="1" applyNumberFormat="1" applyFont="1" applyFill="1" applyBorder="1" applyAlignment="1">
      <alignment horizontal="left" vertical="center"/>
    </xf>
    <xf numFmtId="3" fontId="3" fillId="0" borderId="1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left" vertical="center" wrapText="1"/>
    </xf>
    <xf numFmtId="3" fontId="24" fillId="0" borderId="0" xfId="0" applyNumberFormat="1" applyFont="1" applyFill="1" applyAlignment="1">
      <alignment horizontal="left" vertical="center"/>
    </xf>
    <xf numFmtId="1" fontId="39" fillId="29" borderId="1" xfId="0" applyNumberFormat="1" applyFont="1" applyFill="1" applyBorder="1" applyAlignment="1">
      <alignment horizontal="right" vertical="center" wrapText="1"/>
    </xf>
    <xf numFmtId="1" fontId="3" fillId="29" borderId="1" xfId="0" applyNumberFormat="1" applyFont="1" applyFill="1" applyBorder="1" applyAlignment="1">
      <alignment horizontal="right" vertical="center" wrapText="1"/>
    </xf>
    <xf numFmtId="1" fontId="3" fillId="29" borderId="1" xfId="0" applyNumberFormat="1" applyFont="1" applyFill="1" applyBorder="1" applyAlignment="1">
      <alignment horizontal="left" vertical="center" wrapText="1"/>
    </xf>
    <xf numFmtId="1" fontId="3" fillId="29" borderId="1" xfId="0" applyNumberFormat="1" applyFont="1" applyFill="1" applyBorder="1" applyAlignment="1">
      <alignment horizontal="center" vertical="center" wrapText="1"/>
    </xf>
    <xf numFmtId="3" fontId="3" fillId="29" borderId="1" xfId="0" applyNumberFormat="1" applyFont="1" applyFill="1" applyBorder="1" applyAlignment="1">
      <alignment horizontal="left" vertical="center" wrapText="1"/>
    </xf>
    <xf numFmtId="3" fontId="32" fillId="0" borderId="1" xfId="0" applyNumberFormat="1" applyFont="1" applyFill="1" applyBorder="1" applyAlignment="1">
      <alignment horizontal="center" vertical="center" wrapText="1"/>
    </xf>
    <xf numFmtId="3" fontId="40" fillId="0" borderId="0" xfId="1" applyNumberFormat="1" applyFont="1" applyFill="1" applyBorder="1" applyAlignment="1" applyProtection="1"/>
    <xf numFmtId="3" fontId="58" fillId="0" borderId="0" xfId="0" applyNumberFormat="1" applyFont="1"/>
    <xf numFmtId="0" fontId="62" fillId="0" borderId="0" xfId="0" applyFont="1"/>
    <xf numFmtId="3" fontId="3" fillId="0" borderId="1" xfId="1" applyNumberFormat="1" applyFont="1" applyFill="1" applyBorder="1" applyAlignment="1" applyProtection="1">
      <alignment horizontal="center" vertical="center" wrapText="1"/>
    </xf>
    <xf numFmtId="4" fontId="28" fillId="0" borderId="1" xfId="0" applyNumberFormat="1" applyFont="1" applyFill="1" applyBorder="1" applyAlignment="1">
      <alignment horizontal="center" vertical="center" wrapText="1"/>
    </xf>
    <xf numFmtId="4" fontId="28" fillId="0" borderId="1" xfId="0" applyNumberFormat="1" applyFont="1" applyFill="1" applyBorder="1" applyAlignment="1" applyProtection="1">
      <alignment horizontal="center" vertical="center" wrapText="1"/>
    </xf>
    <xf numFmtId="4" fontId="44" fillId="0" borderId="0" xfId="0" applyNumberFormat="1" applyFont="1"/>
    <xf numFmtId="4" fontId="64" fillId="0" borderId="0" xfId="0" applyNumberFormat="1" applyFont="1"/>
    <xf numFmtId="0" fontId="65" fillId="0" borderId="1" xfId="0" applyNumberFormat="1" applyFont="1" applyFill="1" applyBorder="1" applyAlignment="1" applyProtection="1">
      <alignment wrapText="1"/>
    </xf>
    <xf numFmtId="49" fontId="65" fillId="0" borderId="1" xfId="0" applyNumberFormat="1" applyFont="1" applyFill="1" applyBorder="1" applyAlignment="1" applyProtection="1">
      <alignment horizontal="center" wrapText="1"/>
    </xf>
    <xf numFmtId="1" fontId="3" fillId="30" borderId="1" xfId="0" applyNumberFormat="1" applyFont="1" applyFill="1" applyBorder="1" applyAlignment="1">
      <alignment horizontal="left" vertical="center" wrapText="1"/>
    </xf>
    <xf numFmtId="1" fontId="50" fillId="30" borderId="1" xfId="0" applyNumberFormat="1" applyFont="1" applyFill="1" applyBorder="1" applyAlignment="1">
      <alignment horizontal="right" vertical="center" wrapText="1"/>
    </xf>
    <xf numFmtId="49" fontId="4" fillId="30" borderId="1" xfId="0" applyNumberFormat="1" applyFont="1" applyFill="1" applyBorder="1" applyAlignment="1">
      <alignment horizontal="right" vertical="center" wrapText="1"/>
    </xf>
    <xf numFmtId="3" fontId="4" fillId="30" borderId="1" xfId="0" applyNumberFormat="1" applyFont="1" applyFill="1" applyBorder="1" applyAlignment="1">
      <alignment vertical="center"/>
    </xf>
    <xf numFmtId="3" fontId="3" fillId="0" borderId="1" xfId="2" applyNumberFormat="1" applyFont="1" applyFill="1" applyBorder="1" applyAlignment="1" applyProtection="1">
      <alignment horizontal="left" wrapText="1"/>
    </xf>
    <xf numFmtId="1" fontId="3" fillId="31" borderId="1" xfId="0" applyNumberFormat="1" applyFont="1" applyFill="1" applyBorder="1" applyAlignment="1">
      <alignment horizontal="left" vertical="center" wrapText="1"/>
    </xf>
    <xf numFmtId="1" fontId="3" fillId="32" borderId="1" xfId="0" applyNumberFormat="1" applyFont="1" applyFill="1" applyBorder="1" applyAlignment="1">
      <alignment horizontal="left" vertical="center" wrapText="1"/>
    </xf>
    <xf numFmtId="1" fontId="24" fillId="31" borderId="1" xfId="0" applyNumberFormat="1" applyFont="1" applyFill="1" applyBorder="1" applyAlignment="1">
      <alignment horizontal="left" vertical="center" wrapText="1"/>
    </xf>
    <xf numFmtId="0" fontId="24" fillId="31" borderId="1" xfId="0" applyFont="1" applyFill="1" applyBorder="1" applyAlignment="1">
      <alignment horizontal="left" vertical="center" wrapText="1"/>
    </xf>
    <xf numFmtId="3" fontId="4" fillId="32" borderId="1" xfId="0" applyNumberFormat="1" applyFont="1" applyFill="1" applyBorder="1" applyAlignment="1">
      <alignment vertical="center"/>
    </xf>
    <xf numFmtId="1" fontId="3" fillId="33" borderId="1" xfId="0" applyNumberFormat="1" applyFont="1" applyFill="1" applyBorder="1" applyAlignment="1">
      <alignment horizontal="left" vertical="center" wrapText="1"/>
    </xf>
    <xf numFmtId="1" fontId="24" fillId="33" borderId="1" xfId="0" applyNumberFormat="1" applyFont="1" applyFill="1" applyBorder="1" applyAlignment="1">
      <alignment horizontal="left" vertical="center" wrapText="1"/>
    </xf>
    <xf numFmtId="49" fontId="3" fillId="33" borderId="1" xfId="0" applyNumberFormat="1" applyFont="1" applyFill="1" applyBorder="1" applyAlignment="1">
      <alignment horizontal="left" vertical="center" wrapText="1"/>
    </xf>
    <xf numFmtId="1" fontId="4" fillId="33" borderId="1" xfId="0" applyNumberFormat="1" applyFont="1" applyFill="1" applyBorder="1" applyAlignment="1">
      <alignment horizontal="left" vertical="center" wrapText="1"/>
    </xf>
    <xf numFmtId="0" fontId="24" fillId="33" borderId="1" xfId="0" quotePrefix="1" applyFont="1" applyFill="1" applyBorder="1" applyAlignment="1">
      <alignment horizontal="left" vertical="center"/>
    </xf>
    <xf numFmtId="49" fontId="4" fillId="33" borderId="1" xfId="0" applyNumberFormat="1" applyFont="1" applyFill="1" applyBorder="1" applyAlignment="1">
      <alignment horizontal="left" vertical="center" wrapText="1"/>
    </xf>
    <xf numFmtId="4" fontId="4" fillId="3" borderId="1" xfId="0" applyNumberFormat="1" applyFont="1" applyFill="1" applyBorder="1" applyAlignment="1">
      <alignment vertical="center"/>
    </xf>
    <xf numFmtId="1" fontId="56" fillId="33" borderId="1" xfId="0" applyNumberFormat="1" applyFont="1" applyFill="1" applyBorder="1" applyAlignment="1">
      <alignment horizontal="left" vertical="center" wrapText="1"/>
    </xf>
    <xf numFmtId="1" fontId="3" fillId="34" borderId="1" xfId="0" applyNumberFormat="1" applyFont="1" applyFill="1" applyBorder="1" applyAlignment="1">
      <alignment horizontal="left" vertical="center" wrapText="1"/>
    </xf>
    <xf numFmtId="1" fontId="4" fillId="33" borderId="1" xfId="0" applyNumberFormat="1" applyFont="1" applyFill="1" applyBorder="1" applyAlignment="1" applyProtection="1">
      <alignment horizontal="left" vertical="center" wrapText="1"/>
    </xf>
    <xf numFmtId="1" fontId="28" fillId="31" borderId="1" xfId="0" applyNumberFormat="1" applyFont="1" applyFill="1" applyBorder="1" applyAlignment="1">
      <alignment horizontal="left" vertical="center" wrapText="1"/>
    </xf>
    <xf numFmtId="0" fontId="24" fillId="0" borderId="1" xfId="0" quotePrefix="1" applyFont="1" applyFill="1" applyBorder="1" applyAlignment="1">
      <alignment horizontal="left" vertical="center"/>
    </xf>
    <xf numFmtId="49" fontId="4" fillId="35" borderId="1" xfId="0" applyNumberFormat="1" applyFont="1" applyFill="1" applyBorder="1" applyAlignment="1">
      <alignment horizontal="left" vertical="center" wrapText="1"/>
    </xf>
    <xf numFmtId="1" fontId="28" fillId="34" borderId="1" xfId="0" applyNumberFormat="1" applyFont="1" applyFill="1" applyBorder="1" applyAlignment="1">
      <alignment horizontal="left" vertical="center" wrapText="1"/>
    </xf>
    <xf numFmtId="1" fontId="48" fillId="33" borderId="1" xfId="0" applyNumberFormat="1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 wrapText="1"/>
    </xf>
    <xf numFmtId="1" fontId="56" fillId="34" borderId="1" xfId="0" applyNumberFormat="1" applyFont="1" applyFill="1" applyBorder="1" applyAlignment="1">
      <alignment horizontal="left" vertical="center" wrapText="1"/>
    </xf>
    <xf numFmtId="1" fontId="4" fillId="35" borderId="1" xfId="0" applyNumberFormat="1" applyFont="1" applyFill="1" applyBorder="1" applyAlignment="1">
      <alignment horizontal="right" vertical="center" wrapText="1"/>
    </xf>
    <xf numFmtId="49" fontId="4" fillId="35" borderId="1" xfId="0" applyNumberFormat="1" applyFont="1" applyFill="1" applyBorder="1" applyAlignment="1">
      <alignment horizontal="right" vertical="center" wrapText="1"/>
    </xf>
    <xf numFmtId="0" fontId="24" fillId="35" borderId="1" xfId="0" quotePrefix="1" applyFont="1" applyFill="1" applyBorder="1" applyAlignment="1">
      <alignment horizontal="center" vertical="center"/>
    </xf>
    <xf numFmtId="1" fontId="3" fillId="35" borderId="1" xfId="0" applyNumberFormat="1" applyFont="1" applyFill="1" applyBorder="1" applyAlignment="1">
      <alignment horizontal="left" vertical="center" wrapText="1"/>
    </xf>
    <xf numFmtId="3" fontId="4" fillId="35" borderId="1" xfId="0" applyNumberFormat="1" applyFont="1" applyFill="1" applyBorder="1" applyAlignment="1">
      <alignment vertical="center"/>
    </xf>
    <xf numFmtId="4" fontId="35" fillId="0" borderId="0" xfId="1" applyNumberFormat="1" applyFont="1" applyFill="1" applyBorder="1" applyAlignment="1" applyProtection="1"/>
    <xf numFmtId="4" fontId="35" fillId="3" borderId="0" xfId="1" applyNumberFormat="1" applyFont="1" applyFill="1" applyBorder="1" applyAlignment="1" applyProtection="1"/>
    <xf numFmtId="4" fontId="37" fillId="0" borderId="0" xfId="1" applyNumberFormat="1" applyFont="1" applyFill="1" applyBorder="1" applyAlignment="1" applyProtection="1"/>
    <xf numFmtId="4" fontId="36" fillId="0" borderId="0" xfId="1" applyNumberFormat="1" applyFont="1" applyFill="1" applyBorder="1" applyAlignment="1" applyProtection="1"/>
    <xf numFmtId="1" fontId="50" fillId="32" borderId="1" xfId="0" applyNumberFormat="1" applyFont="1" applyFill="1" applyBorder="1" applyAlignment="1">
      <alignment horizontal="right" vertical="center" wrapText="1"/>
    </xf>
    <xf numFmtId="49" fontId="4" fillId="32" borderId="1" xfId="0" applyNumberFormat="1" applyFont="1" applyFill="1" applyBorder="1" applyAlignment="1">
      <alignment horizontal="right" vertical="center" wrapText="1"/>
    </xf>
    <xf numFmtId="1" fontId="3" fillId="32" borderId="1" xfId="0" applyNumberFormat="1" applyFont="1" applyFill="1" applyBorder="1" applyAlignment="1">
      <alignment horizontal="right" vertical="center" wrapText="1"/>
    </xf>
    <xf numFmtId="1" fontId="28" fillId="32" borderId="1" xfId="0" applyNumberFormat="1" applyFont="1" applyFill="1" applyBorder="1" applyAlignment="1">
      <alignment horizontal="center" vertical="center" wrapText="1"/>
    </xf>
    <xf numFmtId="1" fontId="24" fillId="32" borderId="1" xfId="0" applyNumberFormat="1" applyFont="1" applyFill="1" applyBorder="1" applyAlignment="1">
      <alignment horizontal="center" vertical="center" wrapText="1"/>
    </xf>
    <xf numFmtId="1" fontId="4" fillId="32" borderId="1" xfId="0" applyNumberFormat="1" applyFont="1" applyFill="1" applyBorder="1" applyAlignment="1">
      <alignment horizontal="right" vertical="center" wrapText="1"/>
    </xf>
    <xf numFmtId="49" fontId="4" fillId="32" borderId="1" xfId="0" applyNumberFormat="1" applyFont="1" applyFill="1" applyBorder="1" applyAlignment="1">
      <alignment horizontal="left" vertical="center" wrapText="1"/>
    </xf>
    <xf numFmtId="0" fontId="24" fillId="32" borderId="1" xfId="0" quotePrefix="1" applyFont="1" applyFill="1" applyBorder="1" applyAlignment="1">
      <alignment horizontal="center" vertical="center"/>
    </xf>
    <xf numFmtId="3" fontId="3" fillId="32" borderId="1" xfId="0" applyNumberFormat="1" applyFont="1" applyFill="1" applyBorder="1" applyAlignment="1">
      <alignment horizontal="left" vertical="center" wrapText="1"/>
    </xf>
    <xf numFmtId="1" fontId="4" fillId="32" borderId="1" xfId="0" applyNumberFormat="1" applyFont="1" applyFill="1" applyBorder="1" applyAlignment="1">
      <alignment horizontal="left" vertical="center" wrapText="1"/>
    </xf>
    <xf numFmtId="3" fontId="61" fillId="32" borderId="1" xfId="0" applyNumberFormat="1" applyFont="1" applyFill="1" applyBorder="1" applyAlignment="1">
      <alignment horizontal="center" vertical="top"/>
    </xf>
    <xf numFmtId="0" fontId="24" fillId="32" borderId="1" xfId="0" applyFont="1" applyFill="1" applyBorder="1" applyAlignment="1">
      <alignment horizontal="left" vertical="center" wrapText="1"/>
    </xf>
    <xf numFmtId="1" fontId="24" fillId="32" borderId="1" xfId="0" applyNumberFormat="1" applyFont="1" applyFill="1" applyBorder="1" applyAlignment="1">
      <alignment horizontal="left" vertical="center" wrapText="1"/>
    </xf>
    <xf numFmtId="4" fontId="42" fillId="0" borderId="0" xfId="0" applyNumberFormat="1" applyFont="1"/>
    <xf numFmtId="3" fontId="4" fillId="2" borderId="0" xfId="1" applyNumberFormat="1" applyFont="1" applyFill="1" applyBorder="1" applyAlignment="1" applyProtection="1"/>
    <xf numFmtId="3" fontId="4" fillId="0" borderId="1" xfId="0" applyNumberFormat="1" applyFont="1" applyFill="1" applyBorder="1" applyAlignment="1" applyProtection="1">
      <alignment wrapText="1"/>
    </xf>
    <xf numFmtId="3" fontId="24" fillId="0" borderId="1" xfId="0" applyNumberFormat="1" applyFont="1" applyFill="1" applyBorder="1" applyAlignment="1" applyProtection="1">
      <alignment wrapText="1"/>
    </xf>
    <xf numFmtId="3" fontId="48" fillId="0" borderId="1" xfId="0" applyNumberFormat="1" applyFont="1" applyFill="1" applyBorder="1" applyAlignment="1" applyProtection="1">
      <alignment wrapText="1"/>
    </xf>
    <xf numFmtId="3" fontId="65" fillId="0" borderId="1" xfId="0" applyNumberFormat="1" applyFont="1" applyFill="1" applyBorder="1" applyAlignment="1" applyProtection="1">
      <alignment wrapText="1"/>
    </xf>
    <xf numFmtId="3" fontId="28" fillId="0" borderId="1" xfId="0" applyNumberFormat="1" applyFont="1" applyFill="1" applyBorder="1" applyAlignment="1" applyProtection="1">
      <alignment horizontal="right" wrapText="1"/>
    </xf>
    <xf numFmtId="3" fontId="3" fillId="32" borderId="1" xfId="0" applyNumberFormat="1" applyFont="1" applyFill="1" applyBorder="1" applyAlignment="1">
      <alignment horizontal="right" vertical="center" wrapText="1"/>
    </xf>
    <xf numFmtId="3" fontId="4" fillId="32" borderId="1" xfId="0" applyNumberFormat="1" applyFont="1" applyFill="1" applyBorder="1" applyAlignment="1">
      <alignment horizontal="right" vertical="center" wrapText="1"/>
    </xf>
    <xf numFmtId="3" fontId="3" fillId="3" borderId="1" xfId="0" applyNumberFormat="1" applyFont="1" applyFill="1" applyBorder="1" applyAlignment="1">
      <alignment vertical="center"/>
    </xf>
    <xf numFmtId="3" fontId="4" fillId="3" borderId="1" xfId="0" applyNumberFormat="1" applyFont="1" applyFill="1" applyBorder="1" applyAlignment="1">
      <alignment vertical="center"/>
    </xf>
    <xf numFmtId="3" fontId="3" fillId="0" borderId="0" xfId="0" applyNumberFormat="1" applyFont="1" applyFill="1" applyBorder="1" applyAlignment="1">
      <alignment vertical="center"/>
    </xf>
    <xf numFmtId="1" fontId="28" fillId="0" borderId="1" xfId="0" applyNumberFormat="1" applyFont="1" applyFill="1" applyBorder="1" applyAlignment="1">
      <alignment horizontal="left" vertical="center" wrapText="1"/>
    </xf>
    <xf numFmtId="1" fontId="50" fillId="0" borderId="1" xfId="0" applyNumberFormat="1" applyFont="1" applyFill="1" applyBorder="1" applyAlignment="1">
      <alignment horizontal="left" vertical="center" wrapText="1"/>
    </xf>
    <xf numFmtId="49" fontId="4" fillId="36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3" fontId="3" fillId="0" borderId="1" xfId="0" applyNumberFormat="1" applyFont="1" applyFill="1" applyBorder="1" applyAlignment="1">
      <alignment horizontal="right" vertical="center"/>
    </xf>
    <xf numFmtId="49" fontId="3" fillId="34" borderId="1" xfId="0" applyNumberFormat="1" applyFont="1" applyFill="1" applyBorder="1" applyAlignment="1">
      <alignment horizontal="left" vertical="center" wrapText="1"/>
    </xf>
    <xf numFmtId="1" fontId="4" fillId="34" borderId="1" xfId="0" applyNumberFormat="1" applyFont="1" applyFill="1" applyBorder="1" applyAlignment="1">
      <alignment horizontal="left" vertical="center" wrapText="1"/>
    </xf>
    <xf numFmtId="49" fontId="4" fillId="30" borderId="1" xfId="0" applyNumberFormat="1" applyFont="1" applyFill="1" applyBorder="1" applyAlignment="1">
      <alignment horizontal="left" vertical="center" wrapText="1"/>
    </xf>
    <xf numFmtId="0" fontId="51" fillId="30" borderId="1" xfId="0" quotePrefix="1" applyFont="1" applyFill="1" applyBorder="1" applyAlignment="1">
      <alignment horizontal="center" vertical="center"/>
    </xf>
    <xf numFmtId="0" fontId="51" fillId="32" borderId="1" xfId="0" quotePrefix="1" applyFont="1" applyFill="1" applyBorder="1" applyAlignment="1">
      <alignment horizontal="center" vertical="center"/>
    </xf>
    <xf numFmtId="3" fontId="3" fillId="0" borderId="0" xfId="0" applyNumberFormat="1" applyFont="1" applyFill="1" applyAlignment="1">
      <alignment horizontal="left" vertical="center"/>
    </xf>
    <xf numFmtId="3" fontId="4" fillId="36" borderId="1" xfId="0" applyNumberFormat="1" applyFont="1" applyFill="1" applyBorder="1" applyAlignment="1">
      <alignment vertical="center"/>
    </xf>
    <xf numFmtId="3" fontId="66" fillId="0" borderId="1" xfId="0" applyNumberFormat="1" applyFont="1" applyFill="1" applyBorder="1" applyAlignment="1">
      <alignment vertical="center"/>
    </xf>
    <xf numFmtId="3" fontId="67" fillId="0" borderId="1" xfId="0" applyNumberFormat="1" applyFont="1" applyFill="1" applyBorder="1" applyAlignment="1">
      <alignment vertical="center"/>
    </xf>
    <xf numFmtId="49" fontId="67" fillId="0" borderId="1" xfId="0" applyNumberFormat="1" applyFont="1" applyFill="1" applyBorder="1" applyAlignment="1">
      <alignment horizontal="left" vertical="center" wrapText="1"/>
    </xf>
    <xf numFmtId="0" fontId="53" fillId="0" borderId="1" xfId="0" quotePrefix="1" applyFont="1" applyFill="1" applyBorder="1" applyAlignment="1">
      <alignment horizontal="center" vertical="center"/>
    </xf>
    <xf numFmtId="3" fontId="68" fillId="32" borderId="1" xfId="0" applyNumberFormat="1" applyFont="1" applyFill="1" applyBorder="1" applyAlignment="1">
      <alignment horizontal="left" vertical="center" wrapText="1"/>
    </xf>
    <xf numFmtId="49" fontId="66" fillId="0" borderId="1" xfId="0" applyNumberFormat="1" applyFont="1" applyFill="1" applyBorder="1" applyAlignment="1">
      <alignment horizontal="left" vertical="center" wrapText="1"/>
    </xf>
    <xf numFmtId="0" fontId="69" fillId="0" borderId="1" xfId="0" quotePrefix="1" applyFont="1" applyFill="1" applyBorder="1" applyAlignment="1">
      <alignment horizontal="left" vertical="center"/>
    </xf>
    <xf numFmtId="0" fontId="53" fillId="0" borderId="1" xfId="0" quotePrefix="1" applyFont="1" applyFill="1" applyBorder="1" applyAlignment="1">
      <alignment horizontal="left" vertical="center"/>
    </xf>
    <xf numFmtId="1" fontId="53" fillId="0" borderId="1" xfId="0" applyNumberFormat="1" applyFont="1" applyFill="1" applyBorder="1" applyAlignment="1">
      <alignment horizontal="left" vertical="center" wrapText="1"/>
    </xf>
    <xf numFmtId="3" fontId="67" fillId="32" borderId="1" xfId="0" applyNumberFormat="1" applyFont="1" applyFill="1" applyBorder="1" applyAlignment="1">
      <alignment vertical="center"/>
    </xf>
    <xf numFmtId="165" fontId="70" fillId="0" borderId="0" xfId="0" applyNumberFormat="1" applyFont="1" applyFill="1" applyAlignment="1">
      <alignment horizontal="center" vertical="center"/>
    </xf>
    <xf numFmtId="3" fontId="66" fillId="32" borderId="1" xfId="0" applyNumberFormat="1" applyFont="1" applyFill="1" applyBorder="1" applyAlignment="1">
      <alignment vertical="center"/>
    </xf>
    <xf numFmtId="3" fontId="67" fillId="0" borderId="1" xfId="0" applyNumberFormat="1" applyFont="1" applyFill="1" applyBorder="1" applyAlignment="1" applyProtection="1">
      <alignment wrapText="1"/>
    </xf>
    <xf numFmtId="3" fontId="53" fillId="0" borderId="1" xfId="0" applyNumberFormat="1" applyFont="1" applyFill="1" applyBorder="1" applyAlignment="1" applyProtection="1">
      <alignment wrapText="1"/>
    </xf>
    <xf numFmtId="49" fontId="71" fillId="0" borderId="1" xfId="0" applyNumberFormat="1" applyFont="1" applyFill="1" applyBorder="1" applyAlignment="1">
      <alignment horizontal="left" vertical="center" wrapText="1"/>
    </xf>
    <xf numFmtId="3" fontId="71" fillId="0" borderId="1" xfId="0" applyNumberFormat="1" applyFont="1" applyFill="1" applyBorder="1" applyAlignment="1">
      <alignment vertical="center"/>
    </xf>
    <xf numFmtId="1" fontId="71" fillId="33" borderId="1" xfId="0" applyNumberFormat="1" applyFont="1" applyFill="1" applyBorder="1" applyAlignment="1">
      <alignment horizontal="left" vertical="center" wrapText="1"/>
    </xf>
    <xf numFmtId="1" fontId="63" fillId="33" borderId="1" xfId="0" applyNumberFormat="1" applyFont="1" applyFill="1" applyBorder="1" applyAlignment="1">
      <alignment horizontal="left" vertical="center" wrapText="1"/>
    </xf>
    <xf numFmtId="3" fontId="71" fillId="3" borderId="1" xfId="0" applyNumberFormat="1" applyFont="1" applyFill="1" applyBorder="1" applyAlignment="1">
      <alignment vertical="center"/>
    </xf>
    <xf numFmtId="0" fontId="73" fillId="0" borderId="1" xfId="0" quotePrefix="1" applyFont="1" applyFill="1" applyBorder="1" applyAlignment="1">
      <alignment horizontal="center" vertical="center"/>
    </xf>
    <xf numFmtId="49" fontId="72" fillId="0" borderId="1" xfId="0" applyNumberFormat="1" applyFont="1" applyFill="1" applyBorder="1" applyAlignment="1">
      <alignment horizontal="left" vertical="center" wrapText="1"/>
    </xf>
    <xf numFmtId="3" fontId="72" fillId="0" borderId="1" xfId="0" applyNumberFormat="1" applyFont="1" applyFill="1" applyBorder="1" applyAlignment="1">
      <alignment vertical="center"/>
    </xf>
    <xf numFmtId="0" fontId="72" fillId="0" borderId="1" xfId="2" applyNumberFormat="1" applyFont="1" applyFill="1" applyBorder="1" applyAlignment="1" applyProtection="1">
      <alignment horizontal="right"/>
    </xf>
    <xf numFmtId="0" fontId="72" fillId="0" borderId="1" xfId="2" applyFont="1" applyFill="1" applyBorder="1" applyAlignment="1">
      <alignment horizontal="left"/>
    </xf>
    <xf numFmtId="3" fontId="72" fillId="0" borderId="1" xfId="1" applyNumberFormat="1" applyFont="1" applyFill="1" applyBorder="1" applyAlignment="1">
      <alignment horizontal="right" wrapText="1"/>
    </xf>
    <xf numFmtId="1" fontId="72" fillId="37" borderId="1" xfId="0" applyNumberFormat="1" applyFont="1" applyFill="1" applyBorder="1" applyAlignment="1">
      <alignment horizontal="left" vertical="center" wrapText="1"/>
    </xf>
    <xf numFmtId="0" fontId="73" fillId="37" borderId="1" xfId="0" quotePrefix="1" applyFont="1" applyFill="1" applyBorder="1" applyAlignment="1">
      <alignment horizontal="center" vertical="center"/>
    </xf>
    <xf numFmtId="0" fontId="24" fillId="37" borderId="1" xfId="0" quotePrefix="1" applyFont="1" applyFill="1" applyBorder="1" applyAlignment="1">
      <alignment horizontal="center" vertical="center"/>
    </xf>
    <xf numFmtId="3" fontId="4" fillId="37" borderId="1" xfId="0" applyNumberFormat="1" applyFont="1" applyFill="1" applyBorder="1" applyAlignment="1">
      <alignment vertical="center"/>
    </xf>
    <xf numFmtId="1" fontId="4" fillId="37" borderId="1" xfId="0" applyNumberFormat="1" applyFont="1" applyFill="1" applyBorder="1" applyAlignment="1">
      <alignment horizontal="left" vertical="center" wrapText="1"/>
    </xf>
    <xf numFmtId="165" fontId="29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3" fontId="3" fillId="31" borderId="1" xfId="0" applyNumberFormat="1" applyFont="1" applyFill="1" applyBorder="1" applyAlignment="1">
      <alignment horizontal="left" vertical="center" wrapText="1"/>
    </xf>
    <xf numFmtId="3" fontId="4" fillId="0" borderId="0" xfId="0" applyNumberFormat="1" applyFont="1" applyFill="1" applyAlignment="1">
      <alignment vertical="center"/>
    </xf>
    <xf numFmtId="0" fontId="74" fillId="0" borderId="0" xfId="0" applyFont="1"/>
    <xf numFmtId="3" fontId="74" fillId="0" borderId="0" xfId="0" applyNumberFormat="1" applyFont="1"/>
    <xf numFmtId="0" fontId="24" fillId="0" borderId="17" xfId="0" applyNumberFormat="1" applyFont="1" applyFill="1" applyBorder="1" applyAlignment="1" applyProtection="1">
      <alignment wrapText="1"/>
    </xf>
    <xf numFmtId="49" fontId="24" fillId="0" borderId="17" xfId="0" applyNumberFormat="1" applyFont="1" applyFill="1" applyBorder="1" applyAlignment="1" applyProtection="1">
      <alignment horizontal="center" wrapText="1"/>
    </xf>
    <xf numFmtId="0" fontId="28" fillId="0" borderId="18" xfId="0" applyNumberFormat="1" applyFont="1" applyFill="1" applyBorder="1" applyAlignment="1">
      <alignment vertical="center" wrapText="1"/>
    </xf>
    <xf numFmtId="3" fontId="28" fillId="0" borderId="17" xfId="0" applyNumberFormat="1" applyFont="1" applyFill="1" applyBorder="1" applyAlignment="1" applyProtection="1">
      <alignment wrapText="1"/>
    </xf>
    <xf numFmtId="0" fontId="24" fillId="0" borderId="19" xfId="0" applyNumberFormat="1" applyFont="1" applyFill="1" applyBorder="1" applyAlignment="1" applyProtection="1">
      <alignment wrapText="1"/>
    </xf>
    <xf numFmtId="49" fontId="24" fillId="0" borderId="19" xfId="0" applyNumberFormat="1" applyFont="1" applyFill="1" applyBorder="1" applyAlignment="1" applyProtection="1">
      <alignment horizontal="center" wrapText="1"/>
    </xf>
    <xf numFmtId="0" fontId="24" fillId="0" borderId="20" xfId="0" applyNumberFormat="1" applyFont="1" applyFill="1" applyBorder="1" applyAlignment="1" applyProtection="1">
      <alignment wrapText="1"/>
    </xf>
    <xf numFmtId="3" fontId="24" fillId="0" borderId="19" xfId="0" applyNumberFormat="1" applyFont="1" applyFill="1" applyBorder="1" applyAlignment="1" applyProtection="1">
      <alignment wrapText="1"/>
    </xf>
    <xf numFmtId="0" fontId="42" fillId="0" borderId="1" xfId="0" applyFont="1" applyBorder="1"/>
    <xf numFmtId="3" fontId="43" fillId="0" borderId="1" xfId="0" applyNumberFormat="1" applyFont="1" applyBorder="1"/>
    <xf numFmtId="0" fontId="43" fillId="0" borderId="1" xfId="0" applyFont="1" applyBorder="1"/>
    <xf numFmtId="165" fontId="29" fillId="3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" fontId="3" fillId="38" borderId="1" xfId="0" applyNumberFormat="1" applyFont="1" applyFill="1" applyBorder="1" applyAlignment="1">
      <alignment horizontal="left" vertical="center" wrapText="1"/>
    </xf>
    <xf numFmtId="1" fontId="24" fillId="38" borderId="1" xfId="0" applyNumberFormat="1" applyFont="1" applyFill="1" applyBorder="1" applyAlignment="1">
      <alignment horizontal="left" vertical="center" wrapText="1"/>
    </xf>
    <xf numFmtId="0" fontId="3" fillId="38" borderId="1" xfId="0" applyFont="1" applyFill="1" applyBorder="1" applyAlignment="1">
      <alignment horizontal="left" vertical="center" wrapText="1"/>
    </xf>
    <xf numFmtId="1" fontId="4" fillId="6" borderId="1" xfId="0" applyNumberFormat="1" applyFont="1" applyFill="1" applyBorder="1" applyAlignment="1">
      <alignment horizontal="right" vertical="center" wrapText="1"/>
    </xf>
    <xf numFmtId="1" fontId="4" fillId="6" borderId="1" xfId="0" applyNumberFormat="1" applyFont="1" applyFill="1" applyBorder="1" applyAlignment="1">
      <alignment horizontal="left" vertical="center" wrapText="1"/>
    </xf>
    <xf numFmtId="0" fontId="24" fillId="6" borderId="1" xfId="0" quotePrefix="1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3" fontId="4" fillId="6" borderId="1" xfId="0" applyNumberFormat="1" applyFont="1" applyFill="1" applyBorder="1" applyAlignment="1">
      <alignment vertical="center"/>
    </xf>
    <xf numFmtId="1" fontId="24" fillId="6" borderId="1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left" vertical="center" wrapText="1"/>
    </xf>
    <xf numFmtId="3" fontId="3" fillId="6" borderId="1" xfId="0" applyNumberFormat="1" applyFont="1" applyFill="1" applyBorder="1" applyAlignment="1">
      <alignment horizontal="right" vertical="center" wrapText="1"/>
    </xf>
    <xf numFmtId="1" fontId="3" fillId="30" borderId="1" xfId="0" applyNumberFormat="1" applyFont="1" applyFill="1" applyBorder="1" applyAlignment="1">
      <alignment horizontal="right" vertical="center" wrapText="1"/>
    </xf>
    <xf numFmtId="1" fontId="3" fillId="30" borderId="1" xfId="0" applyNumberFormat="1" applyFont="1" applyFill="1" applyBorder="1" applyAlignment="1">
      <alignment horizontal="center" vertical="center" wrapText="1"/>
    </xf>
    <xf numFmtId="3" fontId="3" fillId="30" borderId="1" xfId="0" applyNumberFormat="1" applyFont="1" applyFill="1" applyBorder="1" applyAlignment="1">
      <alignment horizontal="left" vertical="center" wrapText="1"/>
    </xf>
    <xf numFmtId="0" fontId="42" fillId="0" borderId="17" xfId="0" applyFont="1" applyBorder="1"/>
    <xf numFmtId="0" fontId="42" fillId="0" borderId="16" xfId="0" applyFont="1" applyBorder="1"/>
    <xf numFmtId="0" fontId="43" fillId="0" borderId="16" xfId="0" applyFont="1" applyBorder="1"/>
    <xf numFmtId="0" fontId="42" fillId="0" borderId="19" xfId="0" applyFont="1" applyBorder="1"/>
    <xf numFmtId="0" fontId="42" fillId="0" borderId="0" xfId="0" applyFont="1" applyBorder="1"/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right"/>
    </xf>
    <xf numFmtId="0" fontId="28" fillId="0" borderId="0" xfId="0" applyNumberFormat="1" applyFont="1" applyFill="1" applyBorder="1" applyAlignment="1" applyProtection="1">
      <alignment horizontal="center" vertical="center" wrapText="1"/>
    </xf>
    <xf numFmtId="0" fontId="28" fillId="0" borderId="4" xfId="0" applyNumberFormat="1" applyFont="1" applyFill="1" applyBorder="1" applyAlignment="1" applyProtection="1">
      <alignment horizontal="center" vertical="center" wrapText="1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165" fontId="29" fillId="3" borderId="16" xfId="0" applyNumberFormat="1" applyFont="1" applyFill="1" applyBorder="1" applyAlignment="1">
      <alignment horizontal="center" vertical="center"/>
    </xf>
    <xf numFmtId="165" fontId="29" fillId="3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  <xf numFmtId="0" fontId="58" fillId="0" borderId="0" xfId="0" applyFont="1"/>
    <xf numFmtId="0" fontId="3" fillId="2" borderId="3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/>
    </xf>
    <xf numFmtId="0" fontId="3" fillId="2" borderId="3" xfId="1" quotePrefix="1" applyNumberFormat="1" applyFont="1" applyFill="1" applyBorder="1" applyAlignment="1" applyProtection="1">
      <alignment horizontal="left" wrapText="1"/>
    </xf>
    <xf numFmtId="0" fontId="3" fillId="2" borderId="0" xfId="1" quotePrefix="1" applyNumberFormat="1" applyFont="1" applyFill="1" applyBorder="1" applyAlignment="1" applyProtection="1">
      <alignment horizontal="left" wrapText="1"/>
    </xf>
    <xf numFmtId="0" fontId="3" fillId="0" borderId="0" xfId="1" quotePrefix="1" applyNumberFormat="1" applyFont="1" applyFill="1" applyBorder="1" applyAlignment="1" applyProtection="1">
      <alignment horizontal="left" wrapText="1"/>
    </xf>
    <xf numFmtId="165" fontId="3" fillId="2" borderId="0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center" wrapText="1"/>
    </xf>
    <xf numFmtId="165" fontId="3" fillId="2" borderId="3" xfId="1" applyNumberFormat="1" applyFont="1" applyFill="1" applyBorder="1" applyAlignment="1" applyProtection="1">
      <alignment horizontal="right" wrapText="1"/>
    </xf>
    <xf numFmtId="3" fontId="58" fillId="0" borderId="1" xfId="0" applyNumberFormat="1" applyFont="1" applyBorder="1"/>
    <xf numFmtId="0" fontId="38" fillId="0" borderId="1" xfId="1" applyNumberFormat="1" applyFont="1" applyFill="1" applyBorder="1" applyAlignment="1" applyProtection="1"/>
    <xf numFmtId="3" fontId="75" fillId="0" borderId="1" xfId="0" applyNumberFormat="1" applyFont="1" applyBorder="1"/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83"/>
  <sheetViews>
    <sheetView tabSelected="1" zoomScale="80" zoomScaleNormal="80" zoomScaleSheetLayoutView="100" workbookViewId="0">
      <selection sqref="A1:J1"/>
    </sheetView>
  </sheetViews>
  <sheetFormatPr defaultRowHeight="15" x14ac:dyDescent="0.25"/>
  <cols>
    <col min="1" max="1" width="46" bestFit="1" customWidth="1"/>
    <col min="2" max="2" width="21.7109375" hidden="1" customWidth="1"/>
    <col min="3" max="6" width="18.7109375" customWidth="1"/>
    <col min="7" max="8" width="18.7109375" style="170" customWidth="1"/>
    <col min="9" max="10" width="18.7109375" customWidth="1"/>
    <col min="12" max="12" width="10.140625" bestFit="1" customWidth="1"/>
  </cols>
  <sheetData>
    <row r="1" spans="1:12" ht="36" customHeight="1" x14ac:dyDescent="0.25">
      <c r="A1" s="451" t="s">
        <v>549</v>
      </c>
      <c r="B1" s="451"/>
      <c r="C1" s="451"/>
      <c r="D1" s="451"/>
      <c r="E1" s="451"/>
      <c r="F1" s="451"/>
      <c r="G1" s="451"/>
      <c r="H1" s="451"/>
      <c r="I1" s="451"/>
      <c r="J1" s="451"/>
    </row>
    <row r="2" spans="1:12" x14ac:dyDescent="0.25">
      <c r="A2" s="1"/>
      <c r="B2" s="1"/>
      <c r="C2" s="2"/>
      <c r="D2" s="2"/>
      <c r="E2" s="2"/>
      <c r="F2" s="2"/>
    </row>
    <row r="3" spans="1:12" x14ac:dyDescent="0.25">
      <c r="A3" s="452" t="s">
        <v>408</v>
      </c>
      <c r="B3" s="452"/>
      <c r="C3" s="452"/>
      <c r="D3" s="452"/>
      <c r="E3" s="452"/>
      <c r="F3" s="452"/>
      <c r="G3" s="452"/>
      <c r="H3" s="452"/>
      <c r="I3" s="452"/>
    </row>
    <row r="4" spans="1:12" x14ac:dyDescent="0.25">
      <c r="A4" s="450" t="s">
        <v>409</v>
      </c>
      <c r="B4" s="450"/>
      <c r="C4" s="103"/>
      <c r="D4" s="103"/>
      <c r="E4" s="103"/>
      <c r="F4" s="103"/>
      <c r="G4" s="298"/>
      <c r="H4" s="298"/>
      <c r="I4" s="463"/>
      <c r="J4" s="463"/>
    </row>
    <row r="5" spans="1:12" x14ac:dyDescent="0.25">
      <c r="A5" s="3"/>
      <c r="B5" s="3"/>
      <c r="C5" s="103"/>
      <c r="D5" s="103"/>
      <c r="E5" s="103"/>
      <c r="F5" s="103"/>
      <c r="G5" s="298"/>
      <c r="H5" s="298"/>
      <c r="I5" s="463"/>
      <c r="J5" s="463"/>
    </row>
    <row r="6" spans="1:12" ht="25.5" x14ac:dyDescent="0.25">
      <c r="A6" s="4"/>
      <c r="B6" s="12" t="s">
        <v>518</v>
      </c>
      <c r="C6" s="247" t="s">
        <v>522</v>
      </c>
      <c r="D6" s="247" t="s">
        <v>523</v>
      </c>
      <c r="E6" s="247" t="s">
        <v>526</v>
      </c>
      <c r="F6" s="247" t="s">
        <v>524</v>
      </c>
      <c r="G6" s="300" t="s">
        <v>527</v>
      </c>
      <c r="H6" s="300" t="s">
        <v>525</v>
      </c>
      <c r="I6" s="463"/>
      <c r="J6" s="463"/>
    </row>
    <row r="7" spans="1:12" ht="23.1" customHeight="1" x14ac:dyDescent="0.25">
      <c r="A7" s="4" t="s">
        <v>410</v>
      </c>
      <c r="B7" s="5">
        <f>B9+B8</f>
        <v>3380939</v>
      </c>
      <c r="C7" s="248">
        <f>C8+C9</f>
        <v>2417954.71</v>
      </c>
      <c r="D7" s="248">
        <f>D8+D9</f>
        <v>18218079.800000001</v>
      </c>
      <c r="E7" s="248">
        <f t="shared" ref="E7:H7" si="0">E8+E9</f>
        <v>211964.99999999997</v>
      </c>
      <c r="F7" s="248">
        <f t="shared" si="0"/>
        <v>1597050.29</v>
      </c>
      <c r="G7" s="248">
        <f t="shared" si="0"/>
        <v>2629919.71</v>
      </c>
      <c r="H7" s="248">
        <f t="shared" si="0"/>
        <v>19815132.240000002</v>
      </c>
      <c r="I7" s="298"/>
      <c r="J7" s="298"/>
      <c r="L7" s="170"/>
    </row>
    <row r="8" spans="1:12" ht="23.1" customHeight="1" x14ac:dyDescent="0.25">
      <c r="A8" s="464" t="s">
        <v>2</v>
      </c>
      <c r="B8" s="6">
        <v>3380833</v>
      </c>
      <c r="C8" s="249">
        <f>' PLAN PRIHODA 2023-II REBALANS '!I5</f>
        <v>2417844.71</v>
      </c>
      <c r="D8" s="249">
        <v>18217251</v>
      </c>
      <c r="E8" s="249">
        <f>' PLAN PRIHODA 2023-II REBALANS '!J5</f>
        <v>211964.99999999997</v>
      </c>
      <c r="F8" s="249">
        <v>1597050.29</v>
      </c>
      <c r="G8" s="249">
        <f>' PLAN PRIHODA 2023-II REBALANS '!K5</f>
        <v>2629809.71</v>
      </c>
      <c r="H8" s="249">
        <v>19814303.440000001</v>
      </c>
      <c r="I8" s="298"/>
      <c r="J8" s="298"/>
    </row>
    <row r="9" spans="1:12" ht="23.1" customHeight="1" x14ac:dyDescent="0.25">
      <c r="A9" s="465" t="s">
        <v>3</v>
      </c>
      <c r="B9" s="6">
        <v>106</v>
      </c>
      <c r="C9" s="249">
        <f>' PLAN PRIHODA 2023-II REBALANS '!I64</f>
        <v>110</v>
      </c>
      <c r="D9" s="249">
        <v>828.8</v>
      </c>
      <c r="E9" s="249">
        <f>' PLAN PRIHODA 2023-II REBALANS '!J64</f>
        <v>0</v>
      </c>
      <c r="F9" s="249">
        <v>0</v>
      </c>
      <c r="G9" s="249">
        <f>' PLAN PRIHODA 2023-II REBALANS '!K64</f>
        <v>110</v>
      </c>
      <c r="H9" s="249">
        <v>828.8</v>
      </c>
      <c r="I9" s="298"/>
      <c r="J9" s="298"/>
    </row>
    <row r="10" spans="1:12" ht="23.1" customHeight="1" x14ac:dyDescent="0.25">
      <c r="A10" s="465" t="s">
        <v>411</v>
      </c>
      <c r="B10" s="6">
        <f>B11+B12</f>
        <v>3922062</v>
      </c>
      <c r="C10" s="249">
        <f>C11+C12</f>
        <v>3417954.71</v>
      </c>
      <c r="D10" s="249">
        <f>D11+D12</f>
        <v>25752580</v>
      </c>
      <c r="E10" s="249">
        <f t="shared" ref="E10:H10" si="1">E11+E12</f>
        <v>211965.26</v>
      </c>
      <c r="F10" s="249">
        <f t="shared" si="1"/>
        <v>1597050.28</v>
      </c>
      <c r="G10" s="249">
        <f t="shared" si="1"/>
        <v>3629919.97</v>
      </c>
      <c r="H10" s="249">
        <f t="shared" si="1"/>
        <v>27349632.23</v>
      </c>
      <c r="I10" s="298"/>
      <c r="J10" s="298"/>
    </row>
    <row r="11" spans="1:12" ht="23.1" customHeight="1" x14ac:dyDescent="0.25">
      <c r="A11" s="466" t="s">
        <v>4</v>
      </c>
      <c r="B11" s="6">
        <v>3526362</v>
      </c>
      <c r="C11" s="249">
        <f>'PLAN RASHODA_2023-II REBALANS '!H4</f>
        <v>2895725.72</v>
      </c>
      <c r="D11" s="249">
        <v>21817845</v>
      </c>
      <c r="E11" s="249">
        <f>'PLAN RASHODA_2023-II REBALANS '!I4</f>
        <v>210133.38</v>
      </c>
      <c r="F11" s="249">
        <v>1583247.08</v>
      </c>
      <c r="G11" s="249">
        <f>'PLAN RASHODA_2023-II REBALANS '!J4</f>
        <v>3105859.1</v>
      </c>
      <c r="H11" s="249">
        <v>23401094.629999999</v>
      </c>
      <c r="I11" s="298"/>
      <c r="J11" s="298"/>
    </row>
    <row r="12" spans="1:12" ht="23.1" customHeight="1" x14ac:dyDescent="0.25">
      <c r="A12" s="465" t="s">
        <v>5</v>
      </c>
      <c r="B12" s="6">
        <v>395700</v>
      </c>
      <c r="C12" s="249">
        <f>'PLAN RASHODA_2023-II REBALANS '!H230</f>
        <v>522228.99</v>
      </c>
      <c r="D12" s="249">
        <v>3934735</v>
      </c>
      <c r="E12" s="249">
        <f>'PLAN RASHODA_2023-II REBALANS '!I230</f>
        <v>1831.8799999999974</v>
      </c>
      <c r="F12" s="249">
        <v>13803.2</v>
      </c>
      <c r="G12" s="249">
        <f>'PLAN RASHODA_2023-II REBALANS '!J230</f>
        <v>524060.87</v>
      </c>
      <c r="H12" s="249">
        <v>3948537.6</v>
      </c>
      <c r="I12" s="298"/>
      <c r="J12" s="298"/>
    </row>
    <row r="13" spans="1:12" ht="23.1" customHeight="1" x14ac:dyDescent="0.25">
      <c r="A13" s="466" t="s">
        <v>6</v>
      </c>
      <c r="B13" s="6">
        <f>B7-B10</f>
        <v>-541123</v>
      </c>
      <c r="C13" s="249">
        <f>C7-C10</f>
        <v>-1000000</v>
      </c>
      <c r="D13" s="249">
        <f>D7-D10</f>
        <v>-7534500.1999999993</v>
      </c>
      <c r="E13" s="249">
        <f t="shared" ref="E13:H13" si="2">E7-E10</f>
        <v>-0.26000000003841706</v>
      </c>
      <c r="F13" s="249">
        <f t="shared" si="2"/>
        <v>1.0000000009313226E-2</v>
      </c>
      <c r="G13" s="249">
        <f t="shared" si="2"/>
        <v>-1000000.2600000002</v>
      </c>
      <c r="H13" s="249">
        <f t="shared" si="2"/>
        <v>-7534499.9899999984</v>
      </c>
      <c r="I13" s="298"/>
      <c r="J13" s="298"/>
    </row>
    <row r="14" spans="1:12" x14ac:dyDescent="0.25">
      <c r="A14" s="467"/>
      <c r="B14" s="7"/>
      <c r="C14" s="8"/>
      <c r="D14" s="8"/>
      <c r="E14" s="8"/>
      <c r="F14" s="8"/>
      <c r="G14" s="298"/>
      <c r="H14" s="298"/>
      <c r="I14" s="298"/>
      <c r="J14" s="298"/>
    </row>
    <row r="15" spans="1:12" x14ac:dyDescent="0.25">
      <c r="A15" s="468"/>
      <c r="B15" s="469"/>
      <c r="C15" s="97"/>
      <c r="D15" s="97"/>
      <c r="E15" s="97"/>
      <c r="F15" s="97"/>
      <c r="G15" s="298"/>
      <c r="H15" s="298"/>
      <c r="I15" s="298"/>
      <c r="J15" s="298"/>
    </row>
    <row r="16" spans="1:12" x14ac:dyDescent="0.25">
      <c r="A16" s="103"/>
      <c r="B16" s="103"/>
      <c r="C16" s="97"/>
      <c r="D16" s="97"/>
      <c r="E16" s="97"/>
      <c r="F16" s="97"/>
      <c r="G16" s="298"/>
      <c r="H16" s="298"/>
      <c r="I16" s="298"/>
      <c r="J16" s="298"/>
    </row>
    <row r="17" spans="1:11" x14ac:dyDescent="0.25">
      <c r="A17" s="9" t="s">
        <v>412</v>
      </c>
      <c r="B17" s="469"/>
      <c r="C17" s="357"/>
      <c r="D17" s="357"/>
      <c r="E17" s="97"/>
      <c r="F17" s="97"/>
      <c r="G17" s="298"/>
      <c r="H17" s="298"/>
      <c r="I17" s="298"/>
      <c r="J17" s="298"/>
    </row>
    <row r="18" spans="1:11" x14ac:dyDescent="0.25">
      <c r="A18" s="10"/>
      <c r="B18" s="469"/>
      <c r="C18" s="357"/>
      <c r="D18" s="357"/>
      <c r="E18" s="97"/>
      <c r="F18" s="97"/>
      <c r="G18" s="298"/>
      <c r="H18" s="298"/>
      <c r="I18" s="298"/>
      <c r="J18" s="298"/>
    </row>
    <row r="19" spans="1:11" ht="30" customHeight="1" x14ac:dyDescent="0.25">
      <c r="A19" s="4"/>
      <c r="B19" s="12" t="s">
        <v>519</v>
      </c>
      <c r="C19" s="300" t="s">
        <v>522</v>
      </c>
      <c r="D19" s="300" t="s">
        <v>523</v>
      </c>
      <c r="E19" s="300" t="s">
        <v>526</v>
      </c>
      <c r="F19" s="300" t="s">
        <v>524</v>
      </c>
      <c r="G19" s="300" t="s">
        <v>527</v>
      </c>
      <c r="H19" s="300" t="s">
        <v>525</v>
      </c>
      <c r="I19" s="470" t="s">
        <v>528</v>
      </c>
      <c r="J19" s="470" t="s">
        <v>529</v>
      </c>
      <c r="K19" s="416"/>
    </row>
    <row r="20" spans="1:11" ht="35.25" customHeight="1" x14ac:dyDescent="0.25">
      <c r="A20" s="11" t="s">
        <v>521</v>
      </c>
      <c r="B20" s="471">
        <v>541123</v>
      </c>
      <c r="C20" s="6">
        <v>1676218</v>
      </c>
      <c r="D20" s="6">
        <v>12629462</v>
      </c>
      <c r="E20" s="6">
        <v>0</v>
      </c>
      <c r="F20" s="6">
        <v>0</v>
      </c>
      <c r="G20" s="6">
        <v>1676217.68</v>
      </c>
      <c r="H20" s="6">
        <v>12629462.109999999</v>
      </c>
      <c r="I20" s="472"/>
      <c r="J20" s="472"/>
      <c r="K20" s="416"/>
    </row>
    <row r="21" spans="1:11" ht="30.75" customHeight="1" x14ac:dyDescent="0.25">
      <c r="A21" s="11" t="s">
        <v>520</v>
      </c>
      <c r="B21" s="473"/>
      <c r="C21" s="6">
        <v>1000000</v>
      </c>
      <c r="D21" s="249">
        <v>7534500</v>
      </c>
      <c r="E21" s="6">
        <v>0</v>
      </c>
      <c r="F21" s="249">
        <v>0</v>
      </c>
      <c r="G21" s="6">
        <v>1000000</v>
      </c>
      <c r="H21" s="249">
        <v>7534500</v>
      </c>
      <c r="I21" s="6">
        <f>G20-G21</f>
        <v>676217.67999999993</v>
      </c>
      <c r="J21" s="474">
        <v>5094962</v>
      </c>
      <c r="K21" s="417"/>
    </row>
    <row r="22" spans="1:11" x14ac:dyDescent="0.25">
      <c r="A22" s="103"/>
      <c r="B22" s="103"/>
      <c r="C22" s="103"/>
      <c r="D22" s="103"/>
      <c r="E22" s="103"/>
      <c r="F22" s="103"/>
      <c r="G22" s="298"/>
      <c r="H22" s="298"/>
      <c r="I22" s="463"/>
      <c r="J22" s="463"/>
      <c r="K22" s="416"/>
    </row>
    <row r="23" spans="1:11" x14ac:dyDescent="0.25">
      <c r="A23" s="463"/>
      <c r="B23" s="463"/>
      <c r="C23" s="298"/>
      <c r="D23" s="298"/>
      <c r="E23" s="463"/>
      <c r="F23" s="463"/>
      <c r="G23" s="298"/>
      <c r="H23" s="298"/>
      <c r="I23" s="463"/>
      <c r="J23" s="463"/>
    </row>
    <row r="24" spans="1:11" x14ac:dyDescent="0.25">
      <c r="A24" s="463"/>
      <c r="B24" s="463"/>
      <c r="C24" s="463"/>
      <c r="D24" s="463"/>
      <c r="E24" s="463"/>
      <c r="F24" s="463"/>
      <c r="G24" s="298"/>
      <c r="H24" s="298"/>
      <c r="I24" s="463"/>
      <c r="J24" s="463"/>
    </row>
    <row r="63" ht="32.25" customHeight="1" x14ac:dyDescent="0.25"/>
    <row r="83" ht="44.25" customHeight="1" x14ac:dyDescent="0.25"/>
  </sheetData>
  <mergeCells count="3">
    <mergeCell ref="A4:B4"/>
    <mergeCell ref="A1:J1"/>
    <mergeCell ref="A3:I3"/>
  </mergeCells>
  <pageMargins left="0.7" right="0.7" top="0.75" bottom="0.75" header="0.3" footer="0.3"/>
  <pageSetup paperSize="9" scale="66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4"/>
  <sheetViews>
    <sheetView view="pageBreakPreview" zoomScale="90" zoomScaleNormal="100" zoomScaleSheetLayoutView="90" workbookViewId="0">
      <selection sqref="A1:K1"/>
    </sheetView>
  </sheetViews>
  <sheetFormatPr defaultRowHeight="12.75" x14ac:dyDescent="0.2"/>
  <cols>
    <col min="1" max="1" width="5.85546875" style="133" customWidth="1"/>
    <col min="2" max="2" width="7.7109375" style="133" customWidth="1"/>
    <col min="3" max="3" width="8.7109375" style="133" hidden="1" customWidth="1"/>
    <col min="4" max="5" width="9.7109375" style="133" hidden="1" customWidth="1"/>
    <col min="6" max="6" width="9.140625" style="133" hidden="1" customWidth="1"/>
    <col min="7" max="7" width="8.7109375" style="133" customWidth="1"/>
    <col min="8" max="8" width="47.85546875" style="133" customWidth="1"/>
    <col min="9" max="9" width="15.140625" style="303" customWidth="1"/>
    <col min="10" max="10" width="15.5703125" style="303" customWidth="1"/>
    <col min="11" max="11" width="15.140625" style="303" customWidth="1"/>
    <col min="12" max="12" width="0" style="106" hidden="1" customWidth="1"/>
    <col min="13" max="13" width="10.140625" style="106" hidden="1" customWidth="1"/>
    <col min="14" max="14" width="0" style="106" hidden="1" customWidth="1"/>
    <col min="15" max="15" width="11.140625" style="106" hidden="1" customWidth="1"/>
    <col min="16" max="16" width="9.85546875" style="106" bestFit="1" customWidth="1"/>
    <col min="17" max="17" width="9.140625" style="106"/>
    <col min="18" max="18" width="15.7109375" style="106" customWidth="1"/>
    <col min="19" max="19" width="11.85546875" style="106" bestFit="1" customWidth="1"/>
    <col min="20" max="16384" width="9.140625" style="106"/>
  </cols>
  <sheetData>
    <row r="1" spans="1:18" x14ac:dyDescent="0.2">
      <c r="A1" s="454" t="s">
        <v>0</v>
      </c>
      <c r="B1" s="454"/>
      <c r="C1" s="454"/>
      <c r="D1" s="454"/>
      <c r="E1" s="454"/>
      <c r="F1" s="454"/>
      <c r="G1" s="454"/>
      <c r="H1" s="454"/>
      <c r="I1" s="454"/>
      <c r="J1" s="454"/>
      <c r="K1" s="454"/>
    </row>
    <row r="2" spans="1:18" x14ac:dyDescent="0.2">
      <c r="A2" s="455" t="s">
        <v>382</v>
      </c>
      <c r="B2" s="455"/>
      <c r="C2" s="455"/>
      <c r="D2" s="455"/>
      <c r="E2" s="455"/>
      <c r="F2" s="455"/>
      <c r="G2" s="455"/>
      <c r="H2" s="455"/>
      <c r="I2" s="455"/>
      <c r="J2" s="455"/>
      <c r="K2" s="455"/>
    </row>
    <row r="3" spans="1:18" ht="64.5" customHeight="1" x14ac:dyDescent="0.2">
      <c r="A3" s="107" t="s">
        <v>75</v>
      </c>
      <c r="B3" s="107" t="s">
        <v>76</v>
      </c>
      <c r="C3" s="107" t="s">
        <v>383</v>
      </c>
      <c r="D3" s="107" t="s">
        <v>77</v>
      </c>
      <c r="E3" s="107" t="s">
        <v>78</v>
      </c>
      <c r="F3" s="107"/>
      <c r="G3" s="108" t="s">
        <v>384</v>
      </c>
      <c r="H3" s="109" t="s">
        <v>385</v>
      </c>
      <c r="I3" s="302" t="s">
        <v>512</v>
      </c>
      <c r="J3" s="301" t="s">
        <v>413</v>
      </c>
      <c r="K3" s="301" t="s">
        <v>511</v>
      </c>
      <c r="M3" s="106" t="s">
        <v>427</v>
      </c>
      <c r="O3" s="106" t="s">
        <v>426</v>
      </c>
    </row>
    <row r="4" spans="1:18" s="137" customFormat="1" ht="13.5" customHeight="1" x14ac:dyDescent="0.2">
      <c r="A4" s="104">
        <v>1</v>
      </c>
      <c r="B4" s="104">
        <v>2</v>
      </c>
      <c r="C4" s="104">
        <v>3</v>
      </c>
      <c r="D4" s="104">
        <v>4</v>
      </c>
      <c r="E4" s="104">
        <v>5</v>
      </c>
      <c r="F4" s="104">
        <v>6</v>
      </c>
      <c r="G4" s="135" t="s">
        <v>547</v>
      </c>
      <c r="H4" s="136">
        <v>4</v>
      </c>
      <c r="I4" s="136">
        <v>5</v>
      </c>
      <c r="J4" s="136">
        <v>6</v>
      </c>
      <c r="K4" s="136">
        <v>7</v>
      </c>
    </row>
    <row r="5" spans="1:18" ht="20.100000000000001" customHeight="1" x14ac:dyDescent="0.2">
      <c r="A5" s="110">
        <v>6</v>
      </c>
      <c r="B5" s="111"/>
      <c r="C5" s="111"/>
      <c r="D5" s="111"/>
      <c r="E5" s="111"/>
      <c r="F5" s="111"/>
      <c r="G5" s="112"/>
      <c r="H5" s="113" t="s">
        <v>2</v>
      </c>
      <c r="I5" s="114">
        <f>I7+I33+I47+I53</f>
        <v>2417844.71</v>
      </c>
      <c r="J5" s="114">
        <f>J7+J34+J47+J53+J41</f>
        <v>211964.99999999997</v>
      </c>
      <c r="K5" s="114">
        <f t="shared" ref="K5" si="0">K7+K34+K47+K53</f>
        <v>2629809.71</v>
      </c>
      <c r="P5" s="134"/>
      <c r="R5" s="356"/>
    </row>
    <row r="6" spans="1:18" ht="20.100000000000001" customHeight="1" x14ac:dyDescent="0.2">
      <c r="A6" s="111"/>
      <c r="B6" s="115"/>
      <c r="C6" s="115"/>
      <c r="D6" s="111"/>
      <c r="E6" s="111"/>
      <c r="F6" s="111"/>
      <c r="G6" s="116"/>
      <c r="H6" s="117" t="s">
        <v>288</v>
      </c>
      <c r="I6" s="114"/>
      <c r="J6" s="114"/>
      <c r="K6" s="114"/>
    </row>
    <row r="7" spans="1:18" ht="30" customHeight="1" x14ac:dyDescent="0.2">
      <c r="A7" s="111"/>
      <c r="B7" s="110">
        <v>63</v>
      </c>
      <c r="C7" s="110"/>
      <c r="D7" s="111"/>
      <c r="E7" s="111"/>
      <c r="F7" s="111"/>
      <c r="G7" s="112"/>
      <c r="H7" s="110" t="s">
        <v>386</v>
      </c>
      <c r="I7" s="114">
        <f>I12+I18+I8+I29+I25</f>
        <v>270335.48</v>
      </c>
      <c r="J7" s="114">
        <f t="shared" ref="J7:K7" si="1">J12+J18+J8+J29+J25</f>
        <v>77964.999999999971</v>
      </c>
      <c r="K7" s="114">
        <f t="shared" si="1"/>
        <v>348300.48</v>
      </c>
    </row>
    <row r="8" spans="1:18" ht="20.100000000000001" hidden="1" customHeight="1" x14ac:dyDescent="0.2">
      <c r="A8" s="111"/>
      <c r="B8" s="110"/>
      <c r="C8" s="110">
        <v>633</v>
      </c>
      <c r="D8" s="111"/>
      <c r="E8" s="111"/>
      <c r="F8" s="111"/>
      <c r="G8" s="112" t="s">
        <v>448</v>
      </c>
      <c r="H8" s="110" t="s">
        <v>463</v>
      </c>
      <c r="I8" s="114">
        <f t="shared" ref="I8:K8" si="2">I9</f>
        <v>0</v>
      </c>
      <c r="J8" s="114">
        <f t="shared" si="2"/>
        <v>0</v>
      </c>
      <c r="K8" s="114">
        <f t="shared" si="2"/>
        <v>0</v>
      </c>
    </row>
    <row r="9" spans="1:18" ht="20.100000000000001" hidden="1" customHeight="1" x14ac:dyDescent="0.2">
      <c r="A9" s="111"/>
      <c r="B9" s="110"/>
      <c r="C9" s="110"/>
      <c r="D9" s="111">
        <v>6331</v>
      </c>
      <c r="E9" s="111"/>
      <c r="F9" s="111"/>
      <c r="G9" s="112" t="s">
        <v>448</v>
      </c>
      <c r="H9" s="111" t="s">
        <v>464</v>
      </c>
      <c r="I9" s="358">
        <f t="shared" ref="I9:K9" si="3">I10</f>
        <v>0</v>
      </c>
      <c r="J9" s="358">
        <f t="shared" si="3"/>
        <v>0</v>
      </c>
      <c r="K9" s="358">
        <f t="shared" si="3"/>
        <v>0</v>
      </c>
    </row>
    <row r="10" spans="1:18" ht="20.100000000000001" hidden="1" customHeight="1" x14ac:dyDescent="0.2">
      <c r="A10" s="111"/>
      <c r="B10" s="110"/>
      <c r="C10" s="110"/>
      <c r="D10" s="111"/>
      <c r="E10" s="111">
        <v>63311</v>
      </c>
      <c r="F10" s="111"/>
      <c r="G10" s="112"/>
      <c r="H10" s="111" t="s">
        <v>465</v>
      </c>
      <c r="I10" s="359">
        <f t="shared" ref="I10:K10" si="4">I11</f>
        <v>0</v>
      </c>
      <c r="J10" s="359">
        <f t="shared" si="4"/>
        <v>0</v>
      </c>
      <c r="K10" s="359">
        <f t="shared" si="4"/>
        <v>0</v>
      </c>
    </row>
    <row r="11" spans="1:18" hidden="1" x14ac:dyDescent="0.2">
      <c r="A11" s="111"/>
      <c r="B11" s="110"/>
      <c r="C11" s="110"/>
      <c r="D11" s="111"/>
      <c r="E11" s="111"/>
      <c r="F11" s="111">
        <v>633110</v>
      </c>
      <c r="G11" s="116"/>
      <c r="H11" s="138" t="s">
        <v>465</v>
      </c>
      <c r="I11" s="359">
        <v>0</v>
      </c>
      <c r="J11" s="359">
        <f>K11-I11</f>
        <v>0</v>
      </c>
      <c r="K11" s="359">
        <v>0</v>
      </c>
    </row>
    <row r="12" spans="1:18" ht="20.100000000000001" customHeight="1" x14ac:dyDescent="0.2">
      <c r="A12" s="111"/>
      <c r="B12" s="110"/>
      <c r="C12" s="110">
        <v>634</v>
      </c>
      <c r="D12" s="111"/>
      <c r="E12" s="111"/>
      <c r="F12" s="111"/>
      <c r="G12" s="112" t="s">
        <v>448</v>
      </c>
      <c r="H12" s="110" t="s">
        <v>387</v>
      </c>
      <c r="I12" s="114">
        <f>I13</f>
        <v>54800</v>
      </c>
      <c r="J12" s="114">
        <f>J13</f>
        <v>37550</v>
      </c>
      <c r="K12" s="114">
        <f>K13</f>
        <v>92350</v>
      </c>
    </row>
    <row r="13" spans="1:18" ht="20.100000000000001" hidden="1" customHeight="1" x14ac:dyDescent="0.2">
      <c r="A13" s="111"/>
      <c r="B13" s="110"/>
      <c r="C13" s="110"/>
      <c r="D13" s="111">
        <v>6341</v>
      </c>
      <c r="E13" s="111"/>
      <c r="F13" s="111"/>
      <c r="G13" s="112" t="s">
        <v>448</v>
      </c>
      <c r="H13" s="111" t="s">
        <v>414</v>
      </c>
      <c r="I13" s="359">
        <f t="shared" ref="I13:K13" si="5">I14</f>
        <v>54800</v>
      </c>
      <c r="J13" s="359">
        <f t="shared" si="5"/>
        <v>37550</v>
      </c>
      <c r="K13" s="359">
        <f t="shared" si="5"/>
        <v>92350</v>
      </c>
      <c r="Q13" s="118"/>
      <c r="R13" s="118"/>
    </row>
    <row r="14" spans="1:18" s="118" customFormat="1" ht="20.100000000000001" hidden="1" customHeight="1" x14ac:dyDescent="0.2">
      <c r="A14" s="111"/>
      <c r="B14" s="110"/>
      <c r="C14" s="110"/>
      <c r="D14" s="111"/>
      <c r="E14" s="111">
        <v>63414</v>
      </c>
      <c r="F14" s="111"/>
      <c r="G14" s="112" t="s">
        <v>448</v>
      </c>
      <c r="H14" s="111" t="s">
        <v>424</v>
      </c>
      <c r="I14" s="359">
        <f>I15+I17</f>
        <v>54800</v>
      </c>
      <c r="J14" s="359">
        <f>J15+J17</f>
        <v>37550</v>
      </c>
      <c r="K14" s="359">
        <f>K15+K17</f>
        <v>92350</v>
      </c>
    </row>
    <row r="15" spans="1:18" s="118" customFormat="1" ht="20.100000000000001" hidden="1" customHeight="1" x14ac:dyDescent="0.2">
      <c r="A15" s="111"/>
      <c r="B15" s="110"/>
      <c r="C15" s="110"/>
      <c r="D15" s="111"/>
      <c r="E15" s="111"/>
      <c r="F15" s="111">
        <v>634140</v>
      </c>
      <c r="G15" s="112" t="s">
        <v>448</v>
      </c>
      <c r="H15" s="138" t="s">
        <v>498</v>
      </c>
      <c r="I15" s="360">
        <v>54800</v>
      </c>
      <c r="J15" s="360">
        <f>K15-I15</f>
        <v>36000</v>
      </c>
      <c r="K15" s="360">
        <f>54800+36000</f>
        <v>90800</v>
      </c>
      <c r="M15" s="119" t="e">
        <f>#REF!</f>
        <v>#REF!</v>
      </c>
      <c r="O15" s="119" t="e">
        <f>#REF!</f>
        <v>#REF!</v>
      </c>
    </row>
    <row r="16" spans="1:18" s="118" customFormat="1" ht="20.100000000000001" hidden="1" customHeight="1" x14ac:dyDescent="0.2">
      <c r="A16" s="111"/>
      <c r="B16" s="110"/>
      <c r="C16" s="110"/>
      <c r="D16" s="111"/>
      <c r="E16" s="111">
        <v>63424</v>
      </c>
      <c r="F16" s="111"/>
      <c r="G16" s="112" t="s">
        <v>448</v>
      </c>
      <c r="H16" s="305" t="s">
        <v>542</v>
      </c>
      <c r="I16" s="361">
        <f>I17</f>
        <v>0</v>
      </c>
      <c r="J16" s="361">
        <f>J17</f>
        <v>1550</v>
      </c>
      <c r="K16" s="361">
        <f>K17</f>
        <v>1550</v>
      </c>
      <c r="M16" s="119"/>
      <c r="O16" s="119"/>
    </row>
    <row r="17" spans="1:15" s="118" customFormat="1" ht="27.75" hidden="1" customHeight="1" x14ac:dyDescent="0.2">
      <c r="A17" s="111"/>
      <c r="B17" s="110"/>
      <c r="C17" s="110"/>
      <c r="D17" s="111"/>
      <c r="E17" s="111"/>
      <c r="F17" s="111">
        <v>634240</v>
      </c>
      <c r="G17" s="112" t="s">
        <v>448</v>
      </c>
      <c r="H17" s="305" t="s">
        <v>542</v>
      </c>
      <c r="I17" s="361">
        <v>0</v>
      </c>
      <c r="J17" s="361">
        <f>K17-I17</f>
        <v>1550</v>
      </c>
      <c r="K17" s="361">
        <v>1550</v>
      </c>
      <c r="M17" s="119"/>
      <c r="O17" s="119"/>
    </row>
    <row r="18" spans="1:15" ht="30" customHeight="1" x14ac:dyDescent="0.2">
      <c r="A18" s="111"/>
      <c r="B18" s="110"/>
      <c r="C18" s="110">
        <v>636</v>
      </c>
      <c r="D18" s="111"/>
      <c r="E18" s="111"/>
      <c r="F18" s="111"/>
      <c r="G18" s="112" t="s">
        <v>448</v>
      </c>
      <c r="H18" s="110" t="s">
        <v>388</v>
      </c>
      <c r="I18" s="114">
        <f>I19+I22</f>
        <v>107505.48000000001</v>
      </c>
      <c r="J18" s="114">
        <f>J19+J22</f>
        <v>40414.999999999978</v>
      </c>
      <c r="K18" s="114">
        <f>K19+K22</f>
        <v>147920.47999999998</v>
      </c>
      <c r="M18" s="119"/>
      <c r="N18" s="119"/>
      <c r="O18" s="119"/>
    </row>
    <row r="19" spans="1:15" ht="30" hidden="1" customHeight="1" x14ac:dyDescent="0.2">
      <c r="A19" s="111"/>
      <c r="B19" s="110"/>
      <c r="C19" s="110"/>
      <c r="D19" s="111">
        <v>6361</v>
      </c>
      <c r="E19" s="111"/>
      <c r="F19" s="111"/>
      <c r="G19" s="112" t="s">
        <v>448</v>
      </c>
      <c r="H19" s="111" t="s">
        <v>389</v>
      </c>
      <c r="I19" s="358">
        <f t="shared" ref="I19:K19" si="6">I20</f>
        <v>103986.49</v>
      </c>
      <c r="J19" s="358">
        <f t="shared" si="6"/>
        <v>40133.119999999981</v>
      </c>
      <c r="K19" s="358">
        <f t="shared" si="6"/>
        <v>144119.60999999999</v>
      </c>
      <c r="M19" s="119"/>
      <c r="N19" s="119"/>
      <c r="O19" s="119"/>
    </row>
    <row r="20" spans="1:15" s="118" customFormat="1" ht="30" hidden="1" customHeight="1" x14ac:dyDescent="0.2">
      <c r="A20" s="111"/>
      <c r="B20" s="110"/>
      <c r="C20" s="110"/>
      <c r="D20" s="111"/>
      <c r="E20" s="111">
        <v>63612</v>
      </c>
      <c r="F20" s="111"/>
      <c r="G20" s="112" t="s">
        <v>448</v>
      </c>
      <c r="H20" s="111" t="s">
        <v>415</v>
      </c>
      <c r="I20" s="358">
        <f>I21</f>
        <v>103986.49</v>
      </c>
      <c r="J20" s="358">
        <f>J21</f>
        <v>40133.119999999981</v>
      </c>
      <c r="K20" s="358">
        <f>K21</f>
        <v>144119.60999999999</v>
      </c>
      <c r="M20" s="119"/>
      <c r="N20" s="119"/>
      <c r="O20" s="119"/>
    </row>
    <row r="21" spans="1:15" s="118" customFormat="1" ht="25.5" hidden="1" x14ac:dyDescent="0.2">
      <c r="A21" s="111"/>
      <c r="B21" s="110"/>
      <c r="C21" s="110"/>
      <c r="D21" s="111"/>
      <c r="E21" s="111"/>
      <c r="F21" s="111">
        <v>636120</v>
      </c>
      <c r="G21" s="112" t="s">
        <v>448</v>
      </c>
      <c r="H21" s="138" t="s">
        <v>416</v>
      </c>
      <c r="I21" s="392">
        <f>103587.47+400-0.98</f>
        <v>103986.49</v>
      </c>
      <c r="J21" s="392">
        <f>K21-I21</f>
        <v>40133.119999999981</v>
      </c>
      <c r="K21" s="392">
        <f>103587.47+400-0.98-281.88+40415</f>
        <v>144119.60999999999</v>
      </c>
      <c r="M21" s="119" t="e">
        <f>#REF!</f>
        <v>#REF!</v>
      </c>
      <c r="N21" s="119"/>
      <c r="O21" s="120" t="e">
        <f>#REF!</f>
        <v>#REF!</v>
      </c>
    </row>
    <row r="22" spans="1:15" ht="30" hidden="1" customHeight="1" x14ac:dyDescent="0.2">
      <c r="A22" s="111"/>
      <c r="B22" s="111"/>
      <c r="C22" s="111"/>
      <c r="D22" s="111">
        <v>6362</v>
      </c>
      <c r="E22" s="111"/>
      <c r="F22" s="111"/>
      <c r="G22" s="112" t="s">
        <v>448</v>
      </c>
      <c r="H22" s="111" t="s">
        <v>390</v>
      </c>
      <c r="I22" s="359">
        <f t="shared" ref="I22:K22" si="7">I23</f>
        <v>3518.99</v>
      </c>
      <c r="J22" s="359">
        <f t="shared" si="7"/>
        <v>281.88000000000011</v>
      </c>
      <c r="K22" s="359">
        <f t="shared" si="7"/>
        <v>3800.87</v>
      </c>
      <c r="M22" s="119"/>
      <c r="N22" s="119"/>
      <c r="O22" s="119"/>
    </row>
    <row r="23" spans="1:15" s="118" customFormat="1" ht="30" hidden="1" customHeight="1" x14ac:dyDescent="0.2">
      <c r="A23" s="111"/>
      <c r="B23" s="111"/>
      <c r="C23" s="111"/>
      <c r="D23" s="111"/>
      <c r="E23" s="111">
        <v>63622</v>
      </c>
      <c r="F23" s="111"/>
      <c r="G23" s="112" t="s">
        <v>448</v>
      </c>
      <c r="H23" s="111" t="s">
        <v>417</v>
      </c>
      <c r="I23" s="359">
        <f>I24</f>
        <v>3518.99</v>
      </c>
      <c r="J23" s="359">
        <f>J24</f>
        <v>281.88000000000011</v>
      </c>
      <c r="K23" s="359">
        <f>K24</f>
        <v>3800.87</v>
      </c>
      <c r="M23" s="119"/>
      <c r="N23" s="119"/>
      <c r="O23" s="119"/>
    </row>
    <row r="24" spans="1:15" s="118" customFormat="1" ht="25.5" hidden="1" x14ac:dyDescent="0.2">
      <c r="A24" s="138"/>
      <c r="B24" s="111"/>
      <c r="C24" s="111"/>
      <c r="D24" s="111"/>
      <c r="E24" s="111"/>
      <c r="F24" s="111">
        <v>636220</v>
      </c>
      <c r="G24" s="112" t="s">
        <v>448</v>
      </c>
      <c r="H24" s="138" t="s">
        <v>418</v>
      </c>
      <c r="I24" s="360">
        <f>3918.99-400</f>
        <v>3518.99</v>
      </c>
      <c r="J24" s="393">
        <f>K24-I24</f>
        <v>281.88000000000011</v>
      </c>
      <c r="K24" s="393">
        <f>3918.99-400+281.88</f>
        <v>3800.87</v>
      </c>
      <c r="M24" s="119" t="e">
        <f>#REF!</f>
        <v>#REF!</v>
      </c>
      <c r="N24" s="119"/>
      <c r="O24" s="119" t="e">
        <f>#REF!</f>
        <v>#REF!</v>
      </c>
    </row>
    <row r="25" spans="1:15" s="118" customFormat="1" ht="25.5" customHeight="1" x14ac:dyDescent="0.2">
      <c r="A25" s="138"/>
      <c r="B25" s="111"/>
      <c r="C25" s="110">
        <v>638</v>
      </c>
      <c r="D25" s="111"/>
      <c r="E25" s="111"/>
      <c r="F25" s="111"/>
      <c r="G25" s="112" t="s">
        <v>513</v>
      </c>
      <c r="H25" s="110" t="s">
        <v>515</v>
      </c>
      <c r="I25" s="114">
        <f t="shared" ref="I25:K25" si="8">I26</f>
        <v>106000</v>
      </c>
      <c r="J25" s="114">
        <f t="shared" si="8"/>
        <v>0</v>
      </c>
      <c r="K25" s="114">
        <f t="shared" si="8"/>
        <v>106000</v>
      </c>
      <c r="M25" s="119"/>
      <c r="N25" s="119"/>
      <c r="O25" s="119"/>
    </row>
    <row r="26" spans="1:15" s="118" customFormat="1" ht="25.5" hidden="1" customHeight="1" x14ac:dyDescent="0.2">
      <c r="A26" s="138"/>
      <c r="B26" s="111"/>
      <c r="C26" s="111"/>
      <c r="D26" s="111">
        <v>6381</v>
      </c>
      <c r="E26" s="111"/>
      <c r="F26" s="111"/>
      <c r="G26" s="112" t="s">
        <v>513</v>
      </c>
      <c r="H26" s="111" t="s">
        <v>516</v>
      </c>
      <c r="I26" s="359">
        <f t="shared" ref="I26:K26" si="9">I27</f>
        <v>106000</v>
      </c>
      <c r="J26" s="359">
        <f t="shared" si="9"/>
        <v>0</v>
      </c>
      <c r="K26" s="359">
        <f t="shared" si="9"/>
        <v>106000</v>
      </c>
      <c r="M26" s="119"/>
      <c r="N26" s="119"/>
      <c r="O26" s="119"/>
    </row>
    <row r="27" spans="1:15" s="118" customFormat="1" ht="25.5" hidden="1" x14ac:dyDescent="0.2">
      <c r="A27" s="138"/>
      <c r="B27" s="111"/>
      <c r="C27" s="111"/>
      <c r="D27" s="111"/>
      <c r="E27" s="111">
        <v>63811</v>
      </c>
      <c r="F27" s="111"/>
      <c r="G27" s="112" t="s">
        <v>513</v>
      </c>
      <c r="H27" s="111" t="s">
        <v>514</v>
      </c>
      <c r="I27" s="359">
        <f>I28</f>
        <v>106000</v>
      </c>
      <c r="J27" s="359">
        <f>J28</f>
        <v>0</v>
      </c>
      <c r="K27" s="359">
        <f>K28</f>
        <v>106000</v>
      </c>
      <c r="M27" s="119"/>
      <c r="N27" s="119"/>
      <c r="O27" s="119"/>
    </row>
    <row r="28" spans="1:15" s="118" customFormat="1" ht="25.5" hidden="1" x14ac:dyDescent="0.2">
      <c r="A28" s="138"/>
      <c r="B28" s="111"/>
      <c r="C28" s="111"/>
      <c r="D28" s="111"/>
      <c r="E28" s="111"/>
      <c r="F28" s="111">
        <v>638111</v>
      </c>
      <c r="G28" s="112" t="s">
        <v>513</v>
      </c>
      <c r="H28" s="138" t="s">
        <v>514</v>
      </c>
      <c r="I28" s="360">
        <v>106000</v>
      </c>
      <c r="J28" s="360">
        <f>K28-I28</f>
        <v>0</v>
      </c>
      <c r="K28" s="393">
        <v>106000</v>
      </c>
      <c r="M28" s="119"/>
      <c r="N28" s="119"/>
      <c r="O28" s="119"/>
    </row>
    <row r="29" spans="1:15" s="118" customFormat="1" ht="25.5" x14ac:dyDescent="0.2">
      <c r="A29" s="138"/>
      <c r="B29" s="111"/>
      <c r="C29" s="110">
        <v>639</v>
      </c>
      <c r="D29" s="110"/>
      <c r="E29" s="110"/>
      <c r="F29" s="110"/>
      <c r="G29" s="112" t="s">
        <v>502</v>
      </c>
      <c r="H29" s="110" t="s">
        <v>504</v>
      </c>
      <c r="I29" s="114">
        <f t="shared" ref="I29:K29" si="10">I30</f>
        <v>2030</v>
      </c>
      <c r="J29" s="114">
        <f t="shared" si="10"/>
        <v>0</v>
      </c>
      <c r="K29" s="114">
        <f t="shared" si="10"/>
        <v>2030</v>
      </c>
      <c r="M29" s="119"/>
      <c r="N29" s="119"/>
      <c r="O29" s="119"/>
    </row>
    <row r="30" spans="1:15" s="118" customFormat="1" ht="25.5" hidden="1" x14ac:dyDescent="0.2">
      <c r="A30" s="138"/>
      <c r="B30" s="111"/>
      <c r="C30" s="110"/>
      <c r="D30" s="110">
        <v>6393</v>
      </c>
      <c r="E30" s="110"/>
      <c r="F30" s="110"/>
      <c r="G30" s="112" t="s">
        <v>502</v>
      </c>
      <c r="H30" s="111" t="s">
        <v>517</v>
      </c>
      <c r="I30" s="359">
        <f t="shared" ref="I30:K30" si="11">I31</f>
        <v>2030</v>
      </c>
      <c r="J30" s="359">
        <f t="shared" si="11"/>
        <v>0</v>
      </c>
      <c r="K30" s="359">
        <f t="shared" si="11"/>
        <v>2030</v>
      </c>
      <c r="M30" s="119"/>
      <c r="N30" s="119"/>
      <c r="O30" s="119"/>
    </row>
    <row r="31" spans="1:15" s="118" customFormat="1" ht="25.5" hidden="1" x14ac:dyDescent="0.2">
      <c r="A31" s="138"/>
      <c r="B31" s="111"/>
      <c r="C31" s="110"/>
      <c r="D31" s="110"/>
      <c r="E31" s="111">
        <v>63931</v>
      </c>
      <c r="F31" s="110"/>
      <c r="G31" s="112" t="s">
        <v>502</v>
      </c>
      <c r="H31" s="111" t="s">
        <v>517</v>
      </c>
      <c r="I31" s="359">
        <f t="shared" ref="I31:K31" si="12">I32</f>
        <v>2030</v>
      </c>
      <c r="J31" s="359">
        <f t="shared" si="12"/>
        <v>0</v>
      </c>
      <c r="K31" s="359">
        <f t="shared" si="12"/>
        <v>2030</v>
      </c>
      <c r="M31" s="119"/>
      <c r="N31" s="119"/>
      <c r="O31" s="119"/>
    </row>
    <row r="32" spans="1:15" s="118" customFormat="1" ht="25.5" hidden="1" x14ac:dyDescent="0.2">
      <c r="A32" s="138"/>
      <c r="B32" s="111"/>
      <c r="C32" s="111"/>
      <c r="D32" s="111"/>
      <c r="E32" s="111"/>
      <c r="F32" s="111">
        <v>639311</v>
      </c>
      <c r="G32" s="112" t="s">
        <v>502</v>
      </c>
      <c r="H32" s="138" t="s">
        <v>517</v>
      </c>
      <c r="I32" s="360">
        <v>2030</v>
      </c>
      <c r="J32" s="360">
        <f>K32-I32</f>
        <v>0</v>
      </c>
      <c r="K32" s="393">
        <v>2030</v>
      </c>
      <c r="M32" s="119"/>
      <c r="N32" s="119"/>
      <c r="O32" s="119"/>
    </row>
    <row r="33" spans="1:16" s="118" customFormat="1" ht="20.100000000000001" customHeight="1" x14ac:dyDescent="0.2">
      <c r="A33" s="138"/>
      <c r="B33" s="111"/>
      <c r="C33" s="111"/>
      <c r="D33" s="111"/>
      <c r="E33" s="111"/>
      <c r="F33" s="111"/>
      <c r="G33" s="112"/>
      <c r="H33" s="125" t="s">
        <v>396</v>
      </c>
      <c r="I33" s="114">
        <f>I34+I41</f>
        <v>692.23</v>
      </c>
      <c r="J33" s="114"/>
      <c r="K33" s="114"/>
      <c r="M33" s="119"/>
      <c r="N33" s="119"/>
      <c r="O33" s="119"/>
    </row>
    <row r="34" spans="1:16" ht="20.100000000000001" customHeight="1" x14ac:dyDescent="0.2">
      <c r="A34" s="110"/>
      <c r="B34" s="110">
        <v>64</v>
      </c>
      <c r="C34" s="110"/>
      <c r="D34" s="110"/>
      <c r="E34" s="110"/>
      <c r="F34" s="163"/>
      <c r="G34" s="112"/>
      <c r="H34" s="122" t="s">
        <v>391</v>
      </c>
      <c r="I34" s="114">
        <f>I35</f>
        <v>50</v>
      </c>
      <c r="J34" s="114">
        <f>J35</f>
        <v>0</v>
      </c>
      <c r="K34" s="114">
        <f>K35+K41</f>
        <v>692.23</v>
      </c>
      <c r="M34" s="119"/>
      <c r="N34" s="119"/>
      <c r="O34" s="119"/>
    </row>
    <row r="35" spans="1:16" ht="20.100000000000001" customHeight="1" x14ac:dyDescent="0.2">
      <c r="A35" s="110"/>
      <c r="B35" s="110"/>
      <c r="C35" s="110">
        <v>641</v>
      </c>
      <c r="D35" s="110"/>
      <c r="E35" s="185"/>
      <c r="F35" s="164"/>
      <c r="G35" s="112" t="s">
        <v>466</v>
      </c>
      <c r="H35" s="117" t="s">
        <v>392</v>
      </c>
      <c r="I35" s="114">
        <f>I36+I39</f>
        <v>50</v>
      </c>
      <c r="J35" s="114">
        <f>J36+J39</f>
        <v>0</v>
      </c>
      <c r="K35" s="114">
        <f>K36+K39</f>
        <v>50</v>
      </c>
      <c r="M35" s="119"/>
      <c r="N35" s="119"/>
      <c r="O35" s="119"/>
    </row>
    <row r="36" spans="1:16" ht="20.100000000000001" hidden="1" customHeight="1" x14ac:dyDescent="0.2">
      <c r="A36" s="111"/>
      <c r="B36" s="111"/>
      <c r="C36" s="111"/>
      <c r="D36" s="111">
        <v>6413</v>
      </c>
      <c r="E36" s="111"/>
      <c r="F36" s="165"/>
      <c r="G36" s="112" t="s">
        <v>466</v>
      </c>
      <c r="H36" s="123" t="s">
        <v>393</v>
      </c>
      <c r="I36" s="359">
        <f t="shared" ref="I36:K36" si="13">I37</f>
        <v>50</v>
      </c>
      <c r="J36" s="359">
        <f t="shared" si="13"/>
        <v>0</v>
      </c>
      <c r="K36" s="359">
        <f t="shared" si="13"/>
        <v>50</v>
      </c>
      <c r="M36" s="119"/>
      <c r="N36" s="119"/>
      <c r="O36" s="119"/>
    </row>
    <row r="37" spans="1:16" ht="20.100000000000001" hidden="1" customHeight="1" x14ac:dyDescent="0.2">
      <c r="A37" s="111"/>
      <c r="B37" s="111"/>
      <c r="C37" s="111"/>
      <c r="D37" s="111"/>
      <c r="E37" s="111">
        <v>64132</v>
      </c>
      <c r="F37" s="165"/>
      <c r="G37" s="112" t="s">
        <v>466</v>
      </c>
      <c r="H37" s="111" t="s">
        <v>419</v>
      </c>
      <c r="I37" s="359">
        <f>I38</f>
        <v>50</v>
      </c>
      <c r="J37" s="359">
        <f t="shared" ref="J37" si="14">J38</f>
        <v>0</v>
      </c>
      <c r="K37" s="359">
        <f>K38</f>
        <v>50</v>
      </c>
      <c r="M37" s="119"/>
      <c r="N37" s="119"/>
      <c r="O37" s="119"/>
    </row>
    <row r="38" spans="1:16" ht="20.100000000000001" hidden="1" customHeight="1" x14ac:dyDescent="0.2">
      <c r="A38" s="111"/>
      <c r="B38" s="111"/>
      <c r="C38" s="111"/>
      <c r="D38" s="111"/>
      <c r="E38" s="111"/>
      <c r="F38" s="111">
        <v>641320</v>
      </c>
      <c r="G38" s="112" t="s">
        <v>466</v>
      </c>
      <c r="H38" s="138" t="s">
        <v>419</v>
      </c>
      <c r="I38" s="360">
        <v>50</v>
      </c>
      <c r="J38" s="360">
        <f>K38-I38</f>
        <v>0</v>
      </c>
      <c r="K38" s="393">
        <v>50</v>
      </c>
      <c r="M38" s="119"/>
      <c r="N38" s="119"/>
      <c r="O38" s="119"/>
    </row>
    <row r="39" spans="1:16" ht="20.100000000000001" hidden="1" customHeight="1" x14ac:dyDescent="0.2">
      <c r="A39" s="111"/>
      <c r="B39" s="111"/>
      <c r="C39" s="111"/>
      <c r="D39" s="111">
        <v>6414</v>
      </c>
      <c r="E39" s="111"/>
      <c r="F39" s="111"/>
      <c r="G39" s="112" t="s">
        <v>466</v>
      </c>
      <c r="H39" s="123" t="s">
        <v>394</v>
      </c>
      <c r="I39" s="359">
        <v>0</v>
      </c>
      <c r="J39" s="359">
        <v>0</v>
      </c>
      <c r="K39" s="359">
        <v>0</v>
      </c>
      <c r="M39" s="119"/>
      <c r="N39" s="119"/>
      <c r="O39" s="119"/>
    </row>
    <row r="40" spans="1:16" ht="20.100000000000001" customHeight="1" x14ac:dyDescent="0.2">
      <c r="A40" s="111"/>
      <c r="B40" s="111"/>
      <c r="C40" s="111"/>
      <c r="D40" s="111"/>
      <c r="E40" s="111"/>
      <c r="F40" s="111"/>
      <c r="G40" s="112" t="s">
        <v>466</v>
      </c>
      <c r="H40" s="125" t="s">
        <v>396</v>
      </c>
      <c r="I40" s="359"/>
      <c r="J40" s="359"/>
      <c r="K40" s="359"/>
      <c r="M40" s="119"/>
      <c r="N40" s="119"/>
      <c r="O40" s="119"/>
    </row>
    <row r="41" spans="1:16" ht="41.25" customHeight="1" x14ac:dyDescent="0.2">
      <c r="A41" s="110"/>
      <c r="B41" s="110">
        <v>65</v>
      </c>
      <c r="C41" s="110"/>
      <c r="D41" s="110"/>
      <c r="E41" s="110"/>
      <c r="F41" s="110"/>
      <c r="G41" s="112" t="s">
        <v>466</v>
      </c>
      <c r="H41" s="126" t="s">
        <v>467</v>
      </c>
      <c r="I41" s="114">
        <f t="shared" ref="I41:O41" si="15">I42</f>
        <v>642.23</v>
      </c>
      <c r="J41" s="114">
        <f t="shared" si="15"/>
        <v>0</v>
      </c>
      <c r="K41" s="114">
        <f t="shared" si="15"/>
        <v>642.23</v>
      </c>
      <c r="L41" s="114">
        <f t="shared" si="15"/>
        <v>0</v>
      </c>
      <c r="M41" s="114">
        <f t="shared" si="15"/>
        <v>0</v>
      </c>
      <c r="N41" s="114">
        <f t="shared" si="15"/>
        <v>0</v>
      </c>
      <c r="O41" s="114">
        <f t="shared" si="15"/>
        <v>0</v>
      </c>
    </row>
    <row r="42" spans="1:16" ht="20.100000000000001" customHeight="1" x14ac:dyDescent="0.2">
      <c r="A42" s="111"/>
      <c r="B42" s="111"/>
      <c r="C42" s="110">
        <v>652</v>
      </c>
      <c r="D42" s="111"/>
      <c r="E42" s="111"/>
      <c r="F42" s="111"/>
      <c r="G42" s="112" t="s">
        <v>466</v>
      </c>
      <c r="H42" s="124" t="s">
        <v>468</v>
      </c>
      <c r="I42" s="114">
        <f t="shared" ref="I42:K42" si="16">I43</f>
        <v>642.23</v>
      </c>
      <c r="J42" s="114">
        <f t="shared" si="16"/>
        <v>0</v>
      </c>
      <c r="K42" s="114">
        <f t="shared" si="16"/>
        <v>642.23</v>
      </c>
      <c r="M42" s="119"/>
      <c r="N42" s="119"/>
      <c r="O42" s="119"/>
    </row>
    <row r="43" spans="1:16" ht="20.100000000000001" hidden="1" customHeight="1" x14ac:dyDescent="0.2">
      <c r="A43" s="111"/>
      <c r="B43" s="111"/>
      <c r="C43" s="111"/>
      <c r="D43" s="111">
        <v>6526</v>
      </c>
      <c r="E43" s="111"/>
      <c r="F43" s="111"/>
      <c r="G43" s="112" t="s">
        <v>466</v>
      </c>
      <c r="H43" s="123" t="s">
        <v>469</v>
      </c>
      <c r="I43" s="359">
        <f t="shared" ref="I43:K43" si="17">I44</f>
        <v>642.23</v>
      </c>
      <c r="J43" s="359">
        <f t="shared" si="17"/>
        <v>0</v>
      </c>
      <c r="K43" s="359">
        <f t="shared" si="17"/>
        <v>642.23</v>
      </c>
      <c r="M43" s="119"/>
      <c r="N43" s="119"/>
      <c r="O43" s="119"/>
    </row>
    <row r="44" spans="1:16" ht="30" hidden="1" customHeight="1" x14ac:dyDescent="0.2">
      <c r="A44" s="111"/>
      <c r="B44" s="111"/>
      <c r="C44" s="111"/>
      <c r="D44" s="111"/>
      <c r="E44" s="111">
        <v>65267</v>
      </c>
      <c r="F44" s="111"/>
      <c r="G44" s="112" t="s">
        <v>466</v>
      </c>
      <c r="H44" s="111" t="s">
        <v>470</v>
      </c>
      <c r="I44" s="359">
        <f>I45</f>
        <v>642.23</v>
      </c>
      <c r="J44" s="359">
        <f>J45</f>
        <v>0</v>
      </c>
      <c r="K44" s="359">
        <f>K45</f>
        <v>642.23</v>
      </c>
      <c r="M44" s="119"/>
      <c r="N44" s="119"/>
      <c r="O44" s="119"/>
    </row>
    <row r="45" spans="1:16" ht="25.5" hidden="1" x14ac:dyDescent="0.2">
      <c r="A45" s="111"/>
      <c r="B45" s="111"/>
      <c r="C45" s="111"/>
      <c r="D45" s="111"/>
      <c r="E45" s="111"/>
      <c r="F45" s="111">
        <v>652670</v>
      </c>
      <c r="G45" s="112" t="s">
        <v>466</v>
      </c>
      <c r="H45" s="138" t="s">
        <v>470</v>
      </c>
      <c r="I45" s="360">
        <v>642.23</v>
      </c>
      <c r="J45" s="360">
        <f>K45-I45</f>
        <v>0</v>
      </c>
      <c r="K45" s="360">
        <v>642.23</v>
      </c>
      <c r="M45" s="119"/>
      <c r="N45" s="119"/>
      <c r="O45" s="119"/>
      <c r="P45" s="169"/>
    </row>
    <row r="46" spans="1:16" ht="20.100000000000001" customHeight="1" x14ac:dyDescent="0.2">
      <c r="A46" s="111"/>
      <c r="B46" s="418"/>
      <c r="C46" s="418"/>
      <c r="D46" s="418"/>
      <c r="E46" s="418"/>
      <c r="F46" s="418"/>
      <c r="G46" s="419"/>
      <c r="H46" s="420" t="s">
        <v>396</v>
      </c>
      <c r="I46" s="421"/>
      <c r="J46" s="421"/>
      <c r="K46" s="421"/>
      <c r="M46" s="119"/>
      <c r="N46" s="119"/>
      <c r="O46" s="119"/>
      <c r="P46" s="449"/>
    </row>
    <row r="47" spans="1:16" ht="30" customHeight="1" x14ac:dyDescent="0.2">
      <c r="A47" s="110"/>
      <c r="B47" s="110">
        <v>66</v>
      </c>
      <c r="C47" s="110"/>
      <c r="D47" s="110"/>
      <c r="E47" s="110"/>
      <c r="F47" s="163"/>
      <c r="G47" s="112"/>
      <c r="H47" s="110" t="s">
        <v>421</v>
      </c>
      <c r="I47" s="114">
        <f t="shared" ref="I47:K48" si="18">I48</f>
        <v>841000</v>
      </c>
      <c r="J47" s="114">
        <f t="shared" si="18"/>
        <v>0</v>
      </c>
      <c r="K47" s="114">
        <f t="shared" si="18"/>
        <v>841000</v>
      </c>
      <c r="L47" s="426"/>
      <c r="M47" s="427"/>
      <c r="N47" s="427"/>
      <c r="O47" s="427"/>
      <c r="P47" s="446"/>
    </row>
    <row r="48" spans="1:16" ht="30" customHeight="1" x14ac:dyDescent="0.2">
      <c r="A48" s="110"/>
      <c r="B48" s="110"/>
      <c r="C48" s="110">
        <v>661</v>
      </c>
      <c r="D48" s="110"/>
      <c r="E48" s="110"/>
      <c r="F48" s="163"/>
      <c r="G48" s="112" t="s">
        <v>466</v>
      </c>
      <c r="H48" s="110" t="s">
        <v>397</v>
      </c>
      <c r="I48" s="114">
        <f t="shared" si="18"/>
        <v>841000</v>
      </c>
      <c r="J48" s="114">
        <f t="shared" si="18"/>
        <v>0</v>
      </c>
      <c r="K48" s="114">
        <f t="shared" si="18"/>
        <v>841000</v>
      </c>
      <c r="L48" s="426"/>
      <c r="M48" s="427"/>
      <c r="N48" s="427"/>
      <c r="O48" s="427"/>
      <c r="P48" s="446"/>
    </row>
    <row r="49" spans="1:20" ht="20.100000000000001" hidden="1" customHeight="1" x14ac:dyDescent="0.2">
      <c r="A49" s="111"/>
      <c r="B49" s="111"/>
      <c r="C49" s="111"/>
      <c r="D49" s="111">
        <v>6615</v>
      </c>
      <c r="E49" s="111"/>
      <c r="F49" s="165"/>
      <c r="G49" s="112" t="s">
        <v>466</v>
      </c>
      <c r="H49" s="111" t="s">
        <v>420</v>
      </c>
      <c r="I49" s="359">
        <f t="shared" ref="I49:K49" si="19">I50</f>
        <v>841000</v>
      </c>
      <c r="J49" s="359">
        <f t="shared" si="19"/>
        <v>0</v>
      </c>
      <c r="K49" s="359">
        <f t="shared" si="19"/>
        <v>841000</v>
      </c>
      <c r="L49" s="426"/>
      <c r="M49" s="427"/>
      <c r="N49" s="427"/>
      <c r="O49" s="427"/>
      <c r="P49" s="448"/>
    </row>
    <row r="50" spans="1:20" s="118" customFormat="1" ht="20.100000000000001" hidden="1" customHeight="1" x14ac:dyDescent="0.2">
      <c r="A50" s="111"/>
      <c r="B50" s="111"/>
      <c r="C50" s="111"/>
      <c r="D50" s="111"/>
      <c r="E50" s="111">
        <v>66151</v>
      </c>
      <c r="F50" s="111"/>
      <c r="G50" s="112" t="s">
        <v>466</v>
      </c>
      <c r="H50" s="111" t="s">
        <v>420</v>
      </c>
      <c r="I50" s="359">
        <f>I51</f>
        <v>841000</v>
      </c>
      <c r="J50" s="359">
        <f>J51</f>
        <v>0</v>
      </c>
      <c r="K50" s="359">
        <f>K51</f>
        <v>841000</v>
      </c>
      <c r="L50" s="428"/>
      <c r="M50" s="427"/>
      <c r="N50" s="427"/>
      <c r="O50" s="427"/>
      <c r="P50" s="428"/>
    </row>
    <row r="51" spans="1:20" s="118" customFormat="1" ht="20.100000000000001" hidden="1" customHeight="1" x14ac:dyDescent="0.25">
      <c r="A51" s="138"/>
      <c r="B51" s="111"/>
      <c r="C51" s="111"/>
      <c r="D51" s="111"/>
      <c r="E51" s="111"/>
      <c r="F51" s="111">
        <v>661510</v>
      </c>
      <c r="G51" s="112" t="s">
        <v>466</v>
      </c>
      <c r="H51" s="138" t="s">
        <v>420</v>
      </c>
      <c r="I51" s="360">
        <v>841000</v>
      </c>
      <c r="J51" s="360">
        <f>K51-I51</f>
        <v>0</v>
      </c>
      <c r="K51" s="393">
        <v>841000</v>
      </c>
      <c r="L51" s="428"/>
      <c r="M51" s="427"/>
      <c r="N51" s="427"/>
      <c r="O51" s="427"/>
      <c r="P51" s="428"/>
      <c r="Q51" s="299"/>
    </row>
    <row r="52" spans="1:20" ht="20.100000000000001" hidden="1" customHeight="1" x14ac:dyDescent="0.2">
      <c r="A52" s="110"/>
      <c r="B52" s="111"/>
      <c r="C52" s="111"/>
      <c r="D52" s="111"/>
      <c r="E52" s="111"/>
      <c r="F52" s="111"/>
      <c r="G52" s="112"/>
      <c r="H52" s="128" t="s">
        <v>395</v>
      </c>
      <c r="I52" s="114"/>
      <c r="J52" s="114"/>
      <c r="K52" s="114"/>
      <c r="L52" s="426"/>
      <c r="M52" s="427"/>
      <c r="N52" s="427"/>
      <c r="O52" s="427"/>
      <c r="P52" s="445"/>
    </row>
    <row r="53" spans="1:20" ht="30" customHeight="1" x14ac:dyDescent="0.2">
      <c r="A53" s="110"/>
      <c r="B53" s="110">
        <v>67</v>
      </c>
      <c r="C53" s="110"/>
      <c r="D53" s="110"/>
      <c r="E53" s="110"/>
      <c r="F53" s="110"/>
      <c r="G53" s="112"/>
      <c r="H53" s="110" t="s">
        <v>398</v>
      </c>
      <c r="I53" s="114">
        <f>I54+I59</f>
        <v>1305817</v>
      </c>
      <c r="J53" s="114">
        <f>J54+J59</f>
        <v>134000</v>
      </c>
      <c r="K53" s="114">
        <f>K54+K59</f>
        <v>1439817</v>
      </c>
      <c r="L53" s="426"/>
      <c r="M53" s="427"/>
      <c r="N53" s="427"/>
      <c r="O53" s="427"/>
      <c r="P53" s="446"/>
    </row>
    <row r="54" spans="1:20" ht="25.5" x14ac:dyDescent="0.2">
      <c r="A54" s="110"/>
      <c r="B54" s="110"/>
      <c r="C54" s="110">
        <v>671</v>
      </c>
      <c r="D54" s="110"/>
      <c r="E54" s="110"/>
      <c r="F54" s="110"/>
      <c r="G54" s="112" t="s">
        <v>485</v>
      </c>
      <c r="H54" s="110" t="s">
        <v>422</v>
      </c>
      <c r="I54" s="114">
        <f t="shared" ref="I54:K54" si="20">I55</f>
        <v>39817</v>
      </c>
      <c r="J54" s="114">
        <f>J55</f>
        <v>0</v>
      </c>
      <c r="K54" s="114">
        <f t="shared" si="20"/>
        <v>39817</v>
      </c>
      <c r="L54" s="426"/>
      <c r="M54" s="427"/>
      <c r="N54" s="427"/>
      <c r="O54" s="427"/>
      <c r="P54" s="446"/>
    </row>
    <row r="55" spans="1:20" ht="25.5" hidden="1" x14ac:dyDescent="0.2">
      <c r="A55" s="110"/>
      <c r="B55" s="110"/>
      <c r="C55" s="110"/>
      <c r="D55" s="111">
        <v>6711</v>
      </c>
      <c r="E55" s="111"/>
      <c r="F55" s="111"/>
      <c r="G55" s="112" t="s">
        <v>485</v>
      </c>
      <c r="H55" s="111" t="s">
        <v>399</v>
      </c>
      <c r="I55" s="359">
        <f>I56</f>
        <v>39817</v>
      </c>
      <c r="J55" s="359">
        <f t="shared" ref="J55" si="21">J56</f>
        <v>0</v>
      </c>
      <c r="K55" s="359">
        <f>K56</f>
        <v>39817</v>
      </c>
      <c r="L55" s="426"/>
      <c r="M55" s="427"/>
      <c r="N55" s="427"/>
      <c r="O55" s="427"/>
      <c r="P55" s="446"/>
    </row>
    <row r="56" spans="1:20" s="118" customFormat="1" ht="25.5" hidden="1" x14ac:dyDescent="0.2">
      <c r="A56" s="110"/>
      <c r="B56" s="110"/>
      <c r="C56" s="110"/>
      <c r="D56" s="111"/>
      <c r="E56" s="111">
        <v>67111</v>
      </c>
      <c r="F56" s="111"/>
      <c r="G56" s="112" t="s">
        <v>485</v>
      </c>
      <c r="H56" s="111" t="s">
        <v>399</v>
      </c>
      <c r="I56" s="359">
        <f>I57+I58</f>
        <v>39817</v>
      </c>
      <c r="J56" s="359">
        <f>J57+J58</f>
        <v>0</v>
      </c>
      <c r="K56" s="359">
        <f>K57+K58</f>
        <v>39817</v>
      </c>
      <c r="L56" s="428"/>
      <c r="M56" s="427"/>
      <c r="N56" s="427"/>
      <c r="O56" s="427"/>
      <c r="P56" s="447"/>
    </row>
    <row r="57" spans="1:20" s="118" customFormat="1" ht="26.1" hidden="1" customHeight="1" x14ac:dyDescent="0.2">
      <c r="A57" s="139"/>
      <c r="B57" s="110"/>
      <c r="C57" s="110"/>
      <c r="D57" s="111"/>
      <c r="E57" s="111"/>
      <c r="F57" s="111">
        <v>671110</v>
      </c>
      <c r="G57" s="112" t="s">
        <v>485</v>
      </c>
      <c r="H57" s="138" t="s">
        <v>399</v>
      </c>
      <c r="I57" s="360">
        <v>39817</v>
      </c>
      <c r="J57" s="360">
        <f>K57-I57</f>
        <v>0</v>
      </c>
      <c r="K57" s="393">
        <v>39817</v>
      </c>
      <c r="L57" s="428"/>
      <c r="M57" s="427"/>
      <c r="N57" s="427"/>
      <c r="O57" s="427"/>
      <c r="P57" s="447"/>
    </row>
    <row r="58" spans="1:20" s="118" customFormat="1" ht="26.1" hidden="1" customHeight="1" x14ac:dyDescent="0.2">
      <c r="A58" s="139"/>
      <c r="B58" s="110"/>
      <c r="C58" s="110"/>
      <c r="D58" s="111"/>
      <c r="E58" s="111"/>
      <c r="F58" s="305">
        <v>671111</v>
      </c>
      <c r="G58" s="306" t="s">
        <v>502</v>
      </c>
      <c r="H58" s="138" t="s">
        <v>503</v>
      </c>
      <c r="I58" s="361">
        <v>0</v>
      </c>
      <c r="J58" s="361">
        <f>K58-I58</f>
        <v>0</v>
      </c>
      <c r="K58" s="361">
        <v>0</v>
      </c>
      <c r="L58" s="428"/>
      <c r="M58" s="427"/>
      <c r="N58" s="427"/>
      <c r="O58" s="427"/>
      <c r="P58" s="447"/>
    </row>
    <row r="59" spans="1:20" ht="20.100000000000001" customHeight="1" x14ac:dyDescent="0.2">
      <c r="A59" s="110"/>
      <c r="B59" s="110"/>
      <c r="C59" s="110">
        <v>673</v>
      </c>
      <c r="D59" s="110"/>
      <c r="E59" s="110"/>
      <c r="F59" s="110"/>
      <c r="G59" s="112" t="s">
        <v>475</v>
      </c>
      <c r="H59" s="110" t="s">
        <v>400</v>
      </c>
      <c r="I59" s="114">
        <f>I60</f>
        <v>1266000</v>
      </c>
      <c r="J59" s="114">
        <f>J60</f>
        <v>134000</v>
      </c>
      <c r="K59" s="114">
        <f>K60</f>
        <v>1400000</v>
      </c>
      <c r="L59" s="426"/>
      <c r="M59" s="427"/>
      <c r="N59" s="427"/>
      <c r="O59" s="427"/>
      <c r="P59" s="446"/>
    </row>
    <row r="60" spans="1:20" ht="20.100000000000001" hidden="1" customHeight="1" x14ac:dyDescent="0.2">
      <c r="A60" s="111"/>
      <c r="B60" s="422"/>
      <c r="C60" s="422"/>
      <c r="D60" s="422">
        <v>6731</v>
      </c>
      <c r="E60" s="422"/>
      <c r="F60" s="422"/>
      <c r="G60" s="423" t="s">
        <v>475</v>
      </c>
      <c r="H60" s="424" t="s">
        <v>400</v>
      </c>
      <c r="I60" s="425">
        <f t="shared" ref="I60:K60" si="22">I61</f>
        <v>1266000</v>
      </c>
      <c r="J60" s="425">
        <f t="shared" si="22"/>
        <v>134000</v>
      </c>
      <c r="K60" s="425">
        <f t="shared" si="22"/>
        <v>1400000</v>
      </c>
      <c r="M60" s="119"/>
      <c r="N60" s="119"/>
      <c r="O60" s="119"/>
    </row>
    <row r="61" spans="1:20" s="118" customFormat="1" ht="20.100000000000001" hidden="1" customHeight="1" x14ac:dyDescent="0.2">
      <c r="A61" s="111"/>
      <c r="B61" s="111"/>
      <c r="C61" s="111"/>
      <c r="D61" s="111"/>
      <c r="E61" s="111">
        <v>67311</v>
      </c>
      <c r="F61" s="111"/>
      <c r="G61" s="112" t="s">
        <v>475</v>
      </c>
      <c r="H61" s="127" t="s">
        <v>400</v>
      </c>
      <c r="I61" s="359">
        <f>I62</f>
        <v>1266000</v>
      </c>
      <c r="J61" s="359">
        <f>J62</f>
        <v>134000</v>
      </c>
      <c r="K61" s="359">
        <f>K62</f>
        <v>1400000</v>
      </c>
      <c r="M61" s="119"/>
      <c r="N61" s="119"/>
      <c r="O61" s="119"/>
    </row>
    <row r="62" spans="1:20" s="118" customFormat="1" ht="20.100000000000001" hidden="1" customHeight="1" x14ac:dyDescent="0.25">
      <c r="A62" s="138"/>
      <c r="B62" s="111"/>
      <c r="C62" s="111"/>
      <c r="D62" s="111"/>
      <c r="E62" s="111"/>
      <c r="F62" s="111">
        <v>673111</v>
      </c>
      <c r="G62" s="112" t="s">
        <v>475</v>
      </c>
      <c r="H62" s="140" t="s">
        <v>400</v>
      </c>
      <c r="I62" s="360">
        <f>1206000+60000</f>
        <v>1266000</v>
      </c>
      <c r="J62" s="360">
        <f>K62-I62</f>
        <v>134000</v>
      </c>
      <c r="K62" s="360">
        <v>1400000</v>
      </c>
      <c r="M62" s="119"/>
      <c r="N62" s="119"/>
      <c r="O62" s="119"/>
      <c r="Q62" s="167"/>
      <c r="R62" s="167"/>
      <c r="S62" s="168"/>
      <c r="T62" s="169"/>
    </row>
    <row r="63" spans="1:20" ht="20.100000000000001" customHeight="1" x14ac:dyDescent="0.2">
      <c r="A63" s="111"/>
      <c r="B63" s="111"/>
      <c r="C63" s="111"/>
      <c r="D63" s="111"/>
      <c r="E63" s="111"/>
      <c r="F63" s="111"/>
      <c r="G63" s="112"/>
      <c r="H63" s="117" t="s">
        <v>3</v>
      </c>
      <c r="I63" s="114"/>
      <c r="J63" s="114"/>
      <c r="K63" s="114"/>
      <c r="M63" s="119"/>
      <c r="N63" s="119"/>
      <c r="O63" s="119"/>
    </row>
    <row r="64" spans="1:20" ht="20.100000000000001" customHeight="1" x14ac:dyDescent="0.2">
      <c r="A64" s="128">
        <v>7</v>
      </c>
      <c r="B64" s="128"/>
      <c r="C64" s="128"/>
      <c r="D64" s="128"/>
      <c r="E64" s="128"/>
      <c r="F64" s="128"/>
      <c r="G64" s="112"/>
      <c r="H64" s="128" t="s">
        <v>3</v>
      </c>
      <c r="I64" s="114">
        <f t="shared" ref="I64:K64" si="23">I65</f>
        <v>110</v>
      </c>
      <c r="J64" s="114">
        <f t="shared" si="23"/>
        <v>0</v>
      </c>
      <c r="K64" s="114">
        <f t="shared" si="23"/>
        <v>110</v>
      </c>
      <c r="M64" s="119"/>
      <c r="N64" s="119"/>
      <c r="O64" s="119"/>
    </row>
    <row r="65" spans="1:16" ht="30" customHeight="1" x14ac:dyDescent="0.2">
      <c r="A65" s="110"/>
      <c r="B65" s="110">
        <v>72</v>
      </c>
      <c r="C65" s="110"/>
      <c r="D65" s="110"/>
      <c r="E65" s="110"/>
      <c r="F65" s="163"/>
      <c r="G65" s="112"/>
      <c r="H65" s="110" t="s">
        <v>401</v>
      </c>
      <c r="I65" s="114">
        <f>I66+I70</f>
        <v>110</v>
      </c>
      <c r="J65" s="114">
        <f>J66+J70</f>
        <v>0</v>
      </c>
      <c r="K65" s="114">
        <f>K66+K70</f>
        <v>110</v>
      </c>
      <c r="M65" s="119"/>
      <c r="N65" s="119"/>
      <c r="O65" s="119"/>
    </row>
    <row r="66" spans="1:16" ht="20.100000000000001" customHeight="1" x14ac:dyDescent="0.2">
      <c r="A66" s="110"/>
      <c r="B66" s="110"/>
      <c r="C66" s="110">
        <v>721</v>
      </c>
      <c r="D66" s="110"/>
      <c r="E66" s="110"/>
      <c r="F66" s="163"/>
      <c r="G66" s="112" t="s">
        <v>477</v>
      </c>
      <c r="H66" s="117" t="s">
        <v>402</v>
      </c>
      <c r="I66" s="114">
        <f>I67</f>
        <v>110</v>
      </c>
      <c r="J66" s="114">
        <f>J67</f>
        <v>0</v>
      </c>
      <c r="K66" s="114">
        <f>K67</f>
        <v>110</v>
      </c>
      <c r="M66" s="119"/>
      <c r="N66" s="119"/>
      <c r="O66" s="119"/>
    </row>
    <row r="67" spans="1:16" ht="20.100000000000001" hidden="1" customHeight="1" x14ac:dyDescent="0.2">
      <c r="A67" s="111"/>
      <c r="B67" s="121"/>
      <c r="C67" s="121"/>
      <c r="D67" s="111">
        <v>7211</v>
      </c>
      <c r="E67" s="111"/>
      <c r="F67" s="165"/>
      <c r="G67" s="112" t="s">
        <v>477</v>
      </c>
      <c r="H67" s="129" t="s">
        <v>403</v>
      </c>
      <c r="I67" s="359">
        <f t="shared" ref="I67:K67" si="24">I68</f>
        <v>110</v>
      </c>
      <c r="J67" s="359">
        <f t="shared" si="24"/>
        <v>0</v>
      </c>
      <c r="K67" s="359">
        <f t="shared" si="24"/>
        <v>110</v>
      </c>
      <c r="M67" s="119"/>
      <c r="N67" s="119"/>
      <c r="O67" s="119"/>
    </row>
    <row r="68" spans="1:16" s="118" customFormat="1" ht="20.100000000000001" hidden="1" customHeight="1" x14ac:dyDescent="0.2">
      <c r="A68" s="111"/>
      <c r="B68" s="166"/>
      <c r="C68" s="166"/>
      <c r="D68" s="111"/>
      <c r="E68" s="111">
        <v>72111</v>
      </c>
      <c r="F68" s="165"/>
      <c r="G68" s="112" t="s">
        <v>477</v>
      </c>
      <c r="H68" s="129" t="s">
        <v>423</v>
      </c>
      <c r="I68" s="359">
        <f t="shared" ref="I68:K68" si="25">I69</f>
        <v>110</v>
      </c>
      <c r="J68" s="359">
        <f t="shared" si="25"/>
        <v>0</v>
      </c>
      <c r="K68" s="359">
        <f t="shared" si="25"/>
        <v>110</v>
      </c>
      <c r="M68" s="119"/>
      <c r="N68" s="119"/>
      <c r="O68" s="119"/>
    </row>
    <row r="69" spans="1:16" s="118" customFormat="1" ht="20.100000000000001" hidden="1" customHeight="1" x14ac:dyDescent="0.2">
      <c r="A69" s="138"/>
      <c r="B69" s="166"/>
      <c r="C69" s="166"/>
      <c r="D69" s="165"/>
      <c r="E69" s="165"/>
      <c r="F69" s="111">
        <v>721110</v>
      </c>
      <c r="G69" s="112" t="s">
        <v>477</v>
      </c>
      <c r="H69" s="141" t="s">
        <v>423</v>
      </c>
      <c r="I69" s="360">
        <v>110</v>
      </c>
      <c r="J69" s="359">
        <f>K69-I69</f>
        <v>0</v>
      </c>
      <c r="K69" s="393">
        <v>110</v>
      </c>
      <c r="M69" s="119"/>
      <c r="N69" s="119"/>
      <c r="O69" s="119"/>
    </row>
    <row r="70" spans="1:16" ht="20.100000000000001" hidden="1" customHeight="1" x14ac:dyDescent="0.2">
      <c r="A70" s="110"/>
      <c r="B70" s="115"/>
      <c r="C70" s="115">
        <v>723</v>
      </c>
      <c r="D70" s="111"/>
      <c r="E70" s="111"/>
      <c r="F70" s="111"/>
      <c r="G70" s="112"/>
      <c r="H70" s="130" t="s">
        <v>404</v>
      </c>
      <c r="I70" s="114">
        <f>I71</f>
        <v>0</v>
      </c>
      <c r="J70" s="114">
        <f>J71</f>
        <v>0</v>
      </c>
      <c r="K70" s="114">
        <f>K71</f>
        <v>0</v>
      </c>
      <c r="M70" s="119"/>
      <c r="N70" s="119"/>
      <c r="O70" s="119"/>
    </row>
    <row r="71" spans="1:16" ht="20.100000000000001" hidden="1" customHeight="1" x14ac:dyDescent="0.2">
      <c r="A71" s="111"/>
      <c r="B71" s="121"/>
      <c r="C71" s="121"/>
      <c r="D71" s="111">
        <v>7231</v>
      </c>
      <c r="E71" s="111"/>
      <c r="F71" s="111"/>
      <c r="G71" s="112"/>
      <c r="H71" s="131" t="s">
        <v>70</v>
      </c>
      <c r="I71" s="359">
        <f t="shared" ref="I71:K71" si="26">I72</f>
        <v>0</v>
      </c>
      <c r="J71" s="359">
        <f t="shared" si="26"/>
        <v>0</v>
      </c>
      <c r="K71" s="359">
        <f t="shared" si="26"/>
        <v>0</v>
      </c>
      <c r="M71" s="119"/>
      <c r="N71" s="119"/>
      <c r="O71" s="119"/>
    </row>
    <row r="72" spans="1:16" s="118" customFormat="1" ht="20.100000000000001" hidden="1" customHeight="1" x14ac:dyDescent="0.2">
      <c r="A72" s="111"/>
      <c r="B72" s="121"/>
      <c r="C72" s="121"/>
      <c r="D72" s="111"/>
      <c r="E72" s="111">
        <v>72311</v>
      </c>
      <c r="F72" s="111"/>
      <c r="G72" s="112"/>
      <c r="H72" s="131" t="s">
        <v>344</v>
      </c>
      <c r="I72" s="359">
        <f t="shared" ref="I72:K72" si="27">I73</f>
        <v>0</v>
      </c>
      <c r="J72" s="359">
        <f t="shared" si="27"/>
        <v>0</v>
      </c>
      <c r="K72" s="359">
        <f t="shared" si="27"/>
        <v>0</v>
      </c>
      <c r="M72" s="119"/>
      <c r="N72" s="119"/>
      <c r="O72" s="119"/>
    </row>
    <row r="73" spans="1:16" s="118" customFormat="1" ht="20.100000000000001" hidden="1" customHeight="1" x14ac:dyDescent="0.2">
      <c r="A73" s="110"/>
      <c r="B73" s="115"/>
      <c r="C73" s="115"/>
      <c r="D73" s="111"/>
      <c r="E73" s="111"/>
      <c r="F73" s="111">
        <v>723110</v>
      </c>
      <c r="G73" s="112"/>
      <c r="H73" s="131" t="s">
        <v>344</v>
      </c>
      <c r="I73" s="114">
        <v>0</v>
      </c>
      <c r="J73" s="114">
        <v>0</v>
      </c>
      <c r="K73" s="114">
        <f>I73+J73</f>
        <v>0</v>
      </c>
      <c r="M73" s="119"/>
      <c r="N73" s="119"/>
      <c r="O73" s="119"/>
    </row>
    <row r="74" spans="1:16" ht="32.25" customHeight="1" x14ac:dyDescent="0.2">
      <c r="A74" s="453"/>
      <c r="B74" s="453"/>
      <c r="C74" s="453"/>
      <c r="D74" s="453"/>
      <c r="E74" s="453"/>
      <c r="F74" s="453"/>
      <c r="G74" s="453"/>
      <c r="H74" s="132" t="s">
        <v>405</v>
      </c>
      <c r="I74" s="362">
        <f>I64+I5</f>
        <v>2417954.71</v>
      </c>
      <c r="J74" s="362">
        <f>J64+J5</f>
        <v>211964.99999999997</v>
      </c>
      <c r="K74" s="362">
        <f>K64+K5</f>
        <v>2629919.71</v>
      </c>
      <c r="M74" s="119"/>
      <c r="N74" s="119"/>
      <c r="O74" s="119"/>
    </row>
    <row r="78" spans="1:16" x14ac:dyDescent="0.2">
      <c r="J78" s="304"/>
    </row>
    <row r="79" spans="1:16" x14ac:dyDescent="0.2">
      <c r="M79" s="134"/>
      <c r="N79" s="134"/>
      <c r="O79" s="134"/>
      <c r="P79" s="134"/>
    </row>
    <row r="83" spans="13:15" x14ac:dyDescent="0.2">
      <c r="M83" s="134"/>
    </row>
    <row r="85" spans="13:15" x14ac:dyDescent="0.2">
      <c r="O85" s="134"/>
    </row>
    <row r="94" spans="13:15" ht="44.25" customHeight="1" x14ac:dyDescent="0.2"/>
  </sheetData>
  <mergeCells count="3">
    <mergeCell ref="A74:G74"/>
    <mergeCell ref="A1:K1"/>
    <mergeCell ref="A2:K2"/>
  </mergeCells>
  <pageMargins left="0.25" right="0.25" top="0.75" bottom="0.75" header="0.3" footer="0.3"/>
  <pageSetup paperSize="9" fitToHeight="0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83"/>
  <sheetViews>
    <sheetView view="pageBreakPreview" zoomScale="90" zoomScaleNormal="100" zoomScaleSheetLayoutView="90" workbookViewId="0">
      <selection sqref="A1:J1"/>
    </sheetView>
  </sheetViews>
  <sheetFormatPr defaultRowHeight="12.75" x14ac:dyDescent="0.2"/>
  <cols>
    <col min="1" max="2" width="5.7109375" style="73" customWidth="1"/>
    <col min="3" max="3" width="6.28515625" style="73" hidden="1" customWidth="1"/>
    <col min="4" max="4" width="7.28515625" style="73" hidden="1" customWidth="1"/>
    <col min="5" max="5" width="9.5703125" style="73" hidden="1" customWidth="1"/>
    <col min="6" max="6" width="9.28515625" style="103" hidden="1" customWidth="1"/>
    <col min="7" max="7" width="44.28515625" style="103" customWidth="1"/>
    <col min="8" max="8" width="17.85546875" style="103" customWidth="1"/>
    <col min="9" max="10" width="16.5703125" style="97" customWidth="1"/>
    <col min="11" max="11" width="12.42578125" style="73" customWidth="1"/>
    <col min="12" max="241" width="9.140625" style="73"/>
    <col min="242" max="242" width="2.85546875" style="73" customWidth="1"/>
    <col min="243" max="243" width="3.7109375" style="73" customWidth="1"/>
    <col min="244" max="244" width="6.28515625" style="73" customWidth="1"/>
    <col min="245" max="245" width="37.28515625" style="73" customWidth="1"/>
    <col min="246" max="246" width="18.140625" style="73" customWidth="1"/>
    <col min="247" max="247" width="17.28515625" style="73" customWidth="1"/>
    <col min="248" max="248" width="17.5703125" style="73" customWidth="1"/>
    <col min="249" max="249" width="9.140625" style="73"/>
    <col min="250" max="250" width="10.42578125" style="73" bestFit="1" customWidth="1"/>
    <col min="251" max="251" width="9.42578125" style="73" bestFit="1" customWidth="1"/>
    <col min="252" max="497" width="9.140625" style="73"/>
    <col min="498" max="498" width="2.85546875" style="73" customWidth="1"/>
    <col min="499" max="499" width="3.7109375" style="73" customWidth="1"/>
    <col min="500" max="500" width="6.28515625" style="73" customWidth="1"/>
    <col min="501" max="501" width="37.28515625" style="73" customWidth="1"/>
    <col min="502" max="502" width="18.140625" style="73" customWidth="1"/>
    <col min="503" max="503" width="17.28515625" style="73" customWidth="1"/>
    <col min="504" max="504" width="17.5703125" style="73" customWidth="1"/>
    <col min="505" max="505" width="9.140625" style="73"/>
    <col min="506" max="506" width="10.42578125" style="73" bestFit="1" customWidth="1"/>
    <col min="507" max="507" width="9.42578125" style="73" bestFit="1" customWidth="1"/>
    <col min="508" max="753" width="9.140625" style="73"/>
    <col min="754" max="754" width="2.85546875" style="73" customWidth="1"/>
    <col min="755" max="755" width="3.7109375" style="73" customWidth="1"/>
    <col min="756" max="756" width="6.28515625" style="73" customWidth="1"/>
    <col min="757" max="757" width="37.28515625" style="73" customWidth="1"/>
    <col min="758" max="758" width="18.140625" style="73" customWidth="1"/>
    <col min="759" max="759" width="17.28515625" style="73" customWidth="1"/>
    <col min="760" max="760" width="17.5703125" style="73" customWidth="1"/>
    <col min="761" max="761" width="9.140625" style="73"/>
    <col min="762" max="762" width="10.42578125" style="73" bestFit="1" customWidth="1"/>
    <col min="763" max="763" width="9.42578125" style="73" bestFit="1" customWidth="1"/>
    <col min="764" max="1009" width="9.140625" style="73"/>
    <col min="1010" max="1010" width="2.85546875" style="73" customWidth="1"/>
    <col min="1011" max="1011" width="3.7109375" style="73" customWidth="1"/>
    <col min="1012" max="1012" width="6.28515625" style="73" customWidth="1"/>
    <col min="1013" max="1013" width="37.28515625" style="73" customWidth="1"/>
    <col min="1014" max="1014" width="18.140625" style="73" customWidth="1"/>
    <col min="1015" max="1015" width="17.28515625" style="73" customWidth="1"/>
    <col min="1016" max="1016" width="17.5703125" style="73" customWidth="1"/>
    <col min="1017" max="1017" width="9.140625" style="73"/>
    <col min="1018" max="1018" width="10.42578125" style="73" bestFit="1" customWidth="1"/>
    <col min="1019" max="1019" width="9.42578125" style="73" bestFit="1" customWidth="1"/>
    <col min="1020" max="1265" width="9.140625" style="73"/>
    <col min="1266" max="1266" width="2.85546875" style="73" customWidth="1"/>
    <col min="1267" max="1267" width="3.7109375" style="73" customWidth="1"/>
    <col min="1268" max="1268" width="6.28515625" style="73" customWidth="1"/>
    <col min="1269" max="1269" width="37.28515625" style="73" customWidth="1"/>
    <col min="1270" max="1270" width="18.140625" style="73" customWidth="1"/>
    <col min="1271" max="1271" width="17.28515625" style="73" customWidth="1"/>
    <col min="1272" max="1272" width="17.5703125" style="73" customWidth="1"/>
    <col min="1273" max="1273" width="9.140625" style="73"/>
    <col min="1274" max="1274" width="10.42578125" style="73" bestFit="1" customWidth="1"/>
    <col min="1275" max="1275" width="9.42578125" style="73" bestFit="1" customWidth="1"/>
    <col min="1276" max="1521" width="9.140625" style="73"/>
    <col min="1522" max="1522" width="2.85546875" style="73" customWidth="1"/>
    <col min="1523" max="1523" width="3.7109375" style="73" customWidth="1"/>
    <col min="1524" max="1524" width="6.28515625" style="73" customWidth="1"/>
    <col min="1525" max="1525" width="37.28515625" style="73" customWidth="1"/>
    <col min="1526" max="1526" width="18.140625" style="73" customWidth="1"/>
    <col min="1527" max="1527" width="17.28515625" style="73" customWidth="1"/>
    <col min="1528" max="1528" width="17.5703125" style="73" customWidth="1"/>
    <col min="1529" max="1529" width="9.140625" style="73"/>
    <col min="1530" max="1530" width="10.42578125" style="73" bestFit="1" customWidth="1"/>
    <col min="1531" max="1531" width="9.42578125" style="73" bestFit="1" customWidth="1"/>
    <col min="1532" max="1777" width="9.140625" style="73"/>
    <col min="1778" max="1778" width="2.85546875" style="73" customWidth="1"/>
    <col min="1779" max="1779" width="3.7109375" style="73" customWidth="1"/>
    <col min="1780" max="1780" width="6.28515625" style="73" customWidth="1"/>
    <col min="1781" max="1781" width="37.28515625" style="73" customWidth="1"/>
    <col min="1782" max="1782" width="18.140625" style="73" customWidth="1"/>
    <col min="1783" max="1783" width="17.28515625" style="73" customWidth="1"/>
    <col min="1784" max="1784" width="17.5703125" style="73" customWidth="1"/>
    <col min="1785" max="1785" width="9.140625" style="73"/>
    <col min="1786" max="1786" width="10.42578125" style="73" bestFit="1" customWidth="1"/>
    <col min="1787" max="1787" width="9.42578125" style="73" bestFit="1" customWidth="1"/>
    <col min="1788" max="2033" width="9.140625" style="73"/>
    <col min="2034" max="2034" width="2.85546875" style="73" customWidth="1"/>
    <col min="2035" max="2035" width="3.7109375" style="73" customWidth="1"/>
    <col min="2036" max="2036" width="6.28515625" style="73" customWidth="1"/>
    <col min="2037" max="2037" width="37.28515625" style="73" customWidth="1"/>
    <col min="2038" max="2038" width="18.140625" style="73" customWidth="1"/>
    <col min="2039" max="2039" width="17.28515625" style="73" customWidth="1"/>
    <col min="2040" max="2040" width="17.5703125" style="73" customWidth="1"/>
    <col min="2041" max="2041" width="9.140625" style="73"/>
    <col min="2042" max="2042" width="10.42578125" style="73" bestFit="1" customWidth="1"/>
    <col min="2043" max="2043" width="9.42578125" style="73" bestFit="1" customWidth="1"/>
    <col min="2044" max="2289" width="9.140625" style="73"/>
    <col min="2290" max="2290" width="2.85546875" style="73" customWidth="1"/>
    <col min="2291" max="2291" width="3.7109375" style="73" customWidth="1"/>
    <col min="2292" max="2292" width="6.28515625" style="73" customWidth="1"/>
    <col min="2293" max="2293" width="37.28515625" style="73" customWidth="1"/>
    <col min="2294" max="2294" width="18.140625" style="73" customWidth="1"/>
    <col min="2295" max="2295" width="17.28515625" style="73" customWidth="1"/>
    <col min="2296" max="2296" width="17.5703125" style="73" customWidth="1"/>
    <col min="2297" max="2297" width="9.140625" style="73"/>
    <col min="2298" max="2298" width="10.42578125" style="73" bestFit="1" customWidth="1"/>
    <col min="2299" max="2299" width="9.42578125" style="73" bestFit="1" customWidth="1"/>
    <col min="2300" max="2545" width="9.140625" style="73"/>
    <col min="2546" max="2546" width="2.85546875" style="73" customWidth="1"/>
    <col min="2547" max="2547" width="3.7109375" style="73" customWidth="1"/>
    <col min="2548" max="2548" width="6.28515625" style="73" customWidth="1"/>
    <col min="2549" max="2549" width="37.28515625" style="73" customWidth="1"/>
    <col min="2550" max="2550" width="18.140625" style="73" customWidth="1"/>
    <col min="2551" max="2551" width="17.28515625" style="73" customWidth="1"/>
    <col min="2552" max="2552" width="17.5703125" style="73" customWidth="1"/>
    <col min="2553" max="2553" width="9.140625" style="73"/>
    <col min="2554" max="2554" width="10.42578125" style="73" bestFit="1" customWidth="1"/>
    <col min="2555" max="2555" width="9.42578125" style="73" bestFit="1" customWidth="1"/>
    <col min="2556" max="2801" width="9.140625" style="73"/>
    <col min="2802" max="2802" width="2.85546875" style="73" customWidth="1"/>
    <col min="2803" max="2803" width="3.7109375" style="73" customWidth="1"/>
    <col min="2804" max="2804" width="6.28515625" style="73" customWidth="1"/>
    <col min="2805" max="2805" width="37.28515625" style="73" customWidth="1"/>
    <col min="2806" max="2806" width="18.140625" style="73" customWidth="1"/>
    <col min="2807" max="2807" width="17.28515625" style="73" customWidth="1"/>
    <col min="2808" max="2808" width="17.5703125" style="73" customWidth="1"/>
    <col min="2809" max="2809" width="9.140625" style="73"/>
    <col min="2810" max="2810" width="10.42578125" style="73" bestFit="1" customWidth="1"/>
    <col min="2811" max="2811" width="9.42578125" style="73" bestFit="1" customWidth="1"/>
    <col min="2812" max="3057" width="9.140625" style="73"/>
    <col min="3058" max="3058" width="2.85546875" style="73" customWidth="1"/>
    <col min="3059" max="3059" width="3.7109375" style="73" customWidth="1"/>
    <col min="3060" max="3060" width="6.28515625" style="73" customWidth="1"/>
    <col min="3061" max="3061" width="37.28515625" style="73" customWidth="1"/>
    <col min="3062" max="3062" width="18.140625" style="73" customWidth="1"/>
    <col min="3063" max="3063" width="17.28515625" style="73" customWidth="1"/>
    <col min="3064" max="3064" width="17.5703125" style="73" customWidth="1"/>
    <col min="3065" max="3065" width="9.140625" style="73"/>
    <col min="3066" max="3066" width="10.42578125" style="73" bestFit="1" customWidth="1"/>
    <col min="3067" max="3067" width="9.42578125" style="73" bestFit="1" customWidth="1"/>
    <col min="3068" max="3313" width="9.140625" style="73"/>
    <col min="3314" max="3314" width="2.85546875" style="73" customWidth="1"/>
    <col min="3315" max="3315" width="3.7109375" style="73" customWidth="1"/>
    <col min="3316" max="3316" width="6.28515625" style="73" customWidth="1"/>
    <col min="3317" max="3317" width="37.28515625" style="73" customWidth="1"/>
    <col min="3318" max="3318" width="18.140625" style="73" customWidth="1"/>
    <col min="3319" max="3319" width="17.28515625" style="73" customWidth="1"/>
    <col min="3320" max="3320" width="17.5703125" style="73" customWidth="1"/>
    <col min="3321" max="3321" width="9.140625" style="73"/>
    <col min="3322" max="3322" width="10.42578125" style="73" bestFit="1" customWidth="1"/>
    <col min="3323" max="3323" width="9.42578125" style="73" bestFit="1" customWidth="1"/>
    <col min="3324" max="3569" width="9.140625" style="73"/>
    <col min="3570" max="3570" width="2.85546875" style="73" customWidth="1"/>
    <col min="3571" max="3571" width="3.7109375" style="73" customWidth="1"/>
    <col min="3572" max="3572" width="6.28515625" style="73" customWidth="1"/>
    <col min="3573" max="3573" width="37.28515625" style="73" customWidth="1"/>
    <col min="3574" max="3574" width="18.140625" style="73" customWidth="1"/>
    <col min="3575" max="3575" width="17.28515625" style="73" customWidth="1"/>
    <col min="3576" max="3576" width="17.5703125" style="73" customWidth="1"/>
    <col min="3577" max="3577" width="9.140625" style="73"/>
    <col min="3578" max="3578" width="10.42578125" style="73" bestFit="1" customWidth="1"/>
    <col min="3579" max="3579" width="9.42578125" style="73" bestFit="1" customWidth="1"/>
    <col min="3580" max="3825" width="9.140625" style="73"/>
    <col min="3826" max="3826" width="2.85546875" style="73" customWidth="1"/>
    <col min="3827" max="3827" width="3.7109375" style="73" customWidth="1"/>
    <col min="3828" max="3828" width="6.28515625" style="73" customWidth="1"/>
    <col min="3829" max="3829" width="37.28515625" style="73" customWidth="1"/>
    <col min="3830" max="3830" width="18.140625" style="73" customWidth="1"/>
    <col min="3831" max="3831" width="17.28515625" style="73" customWidth="1"/>
    <col min="3832" max="3832" width="17.5703125" style="73" customWidth="1"/>
    <col min="3833" max="3833" width="9.140625" style="73"/>
    <col min="3834" max="3834" width="10.42578125" style="73" bestFit="1" customWidth="1"/>
    <col min="3835" max="3835" width="9.42578125" style="73" bestFit="1" customWidth="1"/>
    <col min="3836" max="4081" width="9.140625" style="73"/>
    <col min="4082" max="4082" width="2.85546875" style="73" customWidth="1"/>
    <col min="4083" max="4083" width="3.7109375" style="73" customWidth="1"/>
    <col min="4084" max="4084" width="6.28515625" style="73" customWidth="1"/>
    <col min="4085" max="4085" width="37.28515625" style="73" customWidth="1"/>
    <col min="4086" max="4086" width="18.140625" style="73" customWidth="1"/>
    <col min="4087" max="4087" width="17.28515625" style="73" customWidth="1"/>
    <col min="4088" max="4088" width="17.5703125" style="73" customWidth="1"/>
    <col min="4089" max="4089" width="9.140625" style="73"/>
    <col min="4090" max="4090" width="10.42578125" style="73" bestFit="1" customWidth="1"/>
    <col min="4091" max="4091" width="9.42578125" style="73" bestFit="1" customWidth="1"/>
    <col min="4092" max="4337" width="9.140625" style="73"/>
    <col min="4338" max="4338" width="2.85546875" style="73" customWidth="1"/>
    <col min="4339" max="4339" width="3.7109375" style="73" customWidth="1"/>
    <col min="4340" max="4340" width="6.28515625" style="73" customWidth="1"/>
    <col min="4341" max="4341" width="37.28515625" style="73" customWidth="1"/>
    <col min="4342" max="4342" width="18.140625" style="73" customWidth="1"/>
    <col min="4343" max="4343" width="17.28515625" style="73" customWidth="1"/>
    <col min="4344" max="4344" width="17.5703125" style="73" customWidth="1"/>
    <col min="4345" max="4345" width="9.140625" style="73"/>
    <col min="4346" max="4346" width="10.42578125" style="73" bestFit="1" customWidth="1"/>
    <col min="4347" max="4347" width="9.42578125" style="73" bestFit="1" customWidth="1"/>
    <col min="4348" max="4593" width="9.140625" style="73"/>
    <col min="4594" max="4594" width="2.85546875" style="73" customWidth="1"/>
    <col min="4595" max="4595" width="3.7109375" style="73" customWidth="1"/>
    <col min="4596" max="4596" width="6.28515625" style="73" customWidth="1"/>
    <col min="4597" max="4597" width="37.28515625" style="73" customWidth="1"/>
    <col min="4598" max="4598" width="18.140625" style="73" customWidth="1"/>
    <col min="4599" max="4599" width="17.28515625" style="73" customWidth="1"/>
    <col min="4600" max="4600" width="17.5703125" style="73" customWidth="1"/>
    <col min="4601" max="4601" width="9.140625" style="73"/>
    <col min="4602" max="4602" width="10.42578125" style="73" bestFit="1" customWidth="1"/>
    <col min="4603" max="4603" width="9.42578125" style="73" bestFit="1" customWidth="1"/>
    <col min="4604" max="4849" width="9.140625" style="73"/>
    <col min="4850" max="4850" width="2.85546875" style="73" customWidth="1"/>
    <col min="4851" max="4851" width="3.7109375" style="73" customWidth="1"/>
    <col min="4852" max="4852" width="6.28515625" style="73" customWidth="1"/>
    <col min="4853" max="4853" width="37.28515625" style="73" customWidth="1"/>
    <col min="4854" max="4854" width="18.140625" style="73" customWidth="1"/>
    <col min="4855" max="4855" width="17.28515625" style="73" customWidth="1"/>
    <col min="4856" max="4856" width="17.5703125" style="73" customWidth="1"/>
    <col min="4857" max="4857" width="9.140625" style="73"/>
    <col min="4858" max="4858" width="10.42578125" style="73" bestFit="1" customWidth="1"/>
    <col min="4859" max="4859" width="9.42578125" style="73" bestFit="1" customWidth="1"/>
    <col min="4860" max="5105" width="9.140625" style="73"/>
    <col min="5106" max="5106" width="2.85546875" style="73" customWidth="1"/>
    <col min="5107" max="5107" width="3.7109375" style="73" customWidth="1"/>
    <col min="5108" max="5108" width="6.28515625" style="73" customWidth="1"/>
    <col min="5109" max="5109" width="37.28515625" style="73" customWidth="1"/>
    <col min="5110" max="5110" width="18.140625" style="73" customWidth="1"/>
    <col min="5111" max="5111" width="17.28515625" style="73" customWidth="1"/>
    <col min="5112" max="5112" width="17.5703125" style="73" customWidth="1"/>
    <col min="5113" max="5113" width="9.140625" style="73"/>
    <col min="5114" max="5114" width="10.42578125" style="73" bestFit="1" customWidth="1"/>
    <col min="5115" max="5115" width="9.42578125" style="73" bestFit="1" customWidth="1"/>
    <col min="5116" max="5361" width="9.140625" style="73"/>
    <col min="5362" max="5362" width="2.85546875" style="73" customWidth="1"/>
    <col min="5363" max="5363" width="3.7109375" style="73" customWidth="1"/>
    <col min="5364" max="5364" width="6.28515625" style="73" customWidth="1"/>
    <col min="5365" max="5365" width="37.28515625" style="73" customWidth="1"/>
    <col min="5366" max="5366" width="18.140625" style="73" customWidth="1"/>
    <col min="5367" max="5367" width="17.28515625" style="73" customWidth="1"/>
    <col min="5368" max="5368" width="17.5703125" style="73" customWidth="1"/>
    <col min="5369" max="5369" width="9.140625" style="73"/>
    <col min="5370" max="5370" width="10.42578125" style="73" bestFit="1" customWidth="1"/>
    <col min="5371" max="5371" width="9.42578125" style="73" bestFit="1" customWidth="1"/>
    <col min="5372" max="5617" width="9.140625" style="73"/>
    <col min="5618" max="5618" width="2.85546875" style="73" customWidth="1"/>
    <col min="5619" max="5619" width="3.7109375" style="73" customWidth="1"/>
    <col min="5620" max="5620" width="6.28515625" style="73" customWidth="1"/>
    <col min="5621" max="5621" width="37.28515625" style="73" customWidth="1"/>
    <col min="5622" max="5622" width="18.140625" style="73" customWidth="1"/>
    <col min="5623" max="5623" width="17.28515625" style="73" customWidth="1"/>
    <col min="5624" max="5624" width="17.5703125" style="73" customWidth="1"/>
    <col min="5625" max="5625" width="9.140625" style="73"/>
    <col min="5626" max="5626" width="10.42578125" style="73" bestFit="1" customWidth="1"/>
    <col min="5627" max="5627" width="9.42578125" style="73" bestFit="1" customWidth="1"/>
    <col min="5628" max="5873" width="9.140625" style="73"/>
    <col min="5874" max="5874" width="2.85546875" style="73" customWidth="1"/>
    <col min="5875" max="5875" width="3.7109375" style="73" customWidth="1"/>
    <col min="5876" max="5876" width="6.28515625" style="73" customWidth="1"/>
    <col min="5877" max="5877" width="37.28515625" style="73" customWidth="1"/>
    <col min="5878" max="5878" width="18.140625" style="73" customWidth="1"/>
    <col min="5879" max="5879" width="17.28515625" style="73" customWidth="1"/>
    <col min="5880" max="5880" width="17.5703125" style="73" customWidth="1"/>
    <col min="5881" max="5881" width="9.140625" style="73"/>
    <col min="5882" max="5882" width="10.42578125" style="73" bestFit="1" customWidth="1"/>
    <col min="5883" max="5883" width="9.42578125" style="73" bestFit="1" customWidth="1"/>
    <col min="5884" max="6129" width="9.140625" style="73"/>
    <col min="6130" max="6130" width="2.85546875" style="73" customWidth="1"/>
    <col min="6131" max="6131" width="3.7109375" style="73" customWidth="1"/>
    <col min="6132" max="6132" width="6.28515625" style="73" customWidth="1"/>
    <col min="6133" max="6133" width="37.28515625" style="73" customWidth="1"/>
    <col min="6134" max="6134" width="18.140625" style="73" customWidth="1"/>
    <col min="6135" max="6135" width="17.28515625" style="73" customWidth="1"/>
    <col min="6136" max="6136" width="17.5703125" style="73" customWidth="1"/>
    <col min="6137" max="6137" width="9.140625" style="73"/>
    <col min="6138" max="6138" width="10.42578125" style="73" bestFit="1" customWidth="1"/>
    <col min="6139" max="6139" width="9.42578125" style="73" bestFit="1" customWidth="1"/>
    <col min="6140" max="6385" width="9.140625" style="73"/>
    <col min="6386" max="6386" width="2.85546875" style="73" customWidth="1"/>
    <col min="6387" max="6387" width="3.7109375" style="73" customWidth="1"/>
    <col min="6388" max="6388" width="6.28515625" style="73" customWidth="1"/>
    <col min="6389" max="6389" width="37.28515625" style="73" customWidth="1"/>
    <col min="6390" max="6390" width="18.140625" style="73" customWidth="1"/>
    <col min="6391" max="6391" width="17.28515625" style="73" customWidth="1"/>
    <col min="6392" max="6392" width="17.5703125" style="73" customWidth="1"/>
    <col min="6393" max="6393" width="9.140625" style="73"/>
    <col min="6394" max="6394" width="10.42578125" style="73" bestFit="1" customWidth="1"/>
    <col min="6395" max="6395" width="9.42578125" style="73" bestFit="1" customWidth="1"/>
    <col min="6396" max="6641" width="9.140625" style="73"/>
    <col min="6642" max="6642" width="2.85546875" style="73" customWidth="1"/>
    <col min="6643" max="6643" width="3.7109375" style="73" customWidth="1"/>
    <col min="6644" max="6644" width="6.28515625" style="73" customWidth="1"/>
    <col min="6645" max="6645" width="37.28515625" style="73" customWidth="1"/>
    <col min="6646" max="6646" width="18.140625" style="73" customWidth="1"/>
    <col min="6647" max="6647" width="17.28515625" style="73" customWidth="1"/>
    <col min="6648" max="6648" width="17.5703125" style="73" customWidth="1"/>
    <col min="6649" max="6649" width="9.140625" style="73"/>
    <col min="6650" max="6650" width="10.42578125" style="73" bestFit="1" customWidth="1"/>
    <col min="6651" max="6651" width="9.42578125" style="73" bestFit="1" customWidth="1"/>
    <col min="6652" max="6897" width="9.140625" style="73"/>
    <col min="6898" max="6898" width="2.85546875" style="73" customWidth="1"/>
    <col min="6899" max="6899" width="3.7109375" style="73" customWidth="1"/>
    <col min="6900" max="6900" width="6.28515625" style="73" customWidth="1"/>
    <col min="6901" max="6901" width="37.28515625" style="73" customWidth="1"/>
    <col min="6902" max="6902" width="18.140625" style="73" customWidth="1"/>
    <col min="6903" max="6903" width="17.28515625" style="73" customWidth="1"/>
    <col min="6904" max="6904" width="17.5703125" style="73" customWidth="1"/>
    <col min="6905" max="6905" width="9.140625" style="73"/>
    <col min="6906" max="6906" width="10.42578125" style="73" bestFit="1" customWidth="1"/>
    <col min="6907" max="6907" width="9.42578125" style="73" bestFit="1" customWidth="1"/>
    <col min="6908" max="7153" width="9.140625" style="73"/>
    <col min="7154" max="7154" width="2.85546875" style="73" customWidth="1"/>
    <col min="7155" max="7155" width="3.7109375" style="73" customWidth="1"/>
    <col min="7156" max="7156" width="6.28515625" style="73" customWidth="1"/>
    <col min="7157" max="7157" width="37.28515625" style="73" customWidth="1"/>
    <col min="7158" max="7158" width="18.140625" style="73" customWidth="1"/>
    <col min="7159" max="7159" width="17.28515625" style="73" customWidth="1"/>
    <col min="7160" max="7160" width="17.5703125" style="73" customWidth="1"/>
    <col min="7161" max="7161" width="9.140625" style="73"/>
    <col min="7162" max="7162" width="10.42578125" style="73" bestFit="1" customWidth="1"/>
    <col min="7163" max="7163" width="9.42578125" style="73" bestFit="1" customWidth="1"/>
    <col min="7164" max="7409" width="9.140625" style="73"/>
    <col min="7410" max="7410" width="2.85546875" style="73" customWidth="1"/>
    <col min="7411" max="7411" width="3.7109375" style="73" customWidth="1"/>
    <col min="7412" max="7412" width="6.28515625" style="73" customWidth="1"/>
    <col min="7413" max="7413" width="37.28515625" style="73" customWidth="1"/>
    <col min="7414" max="7414" width="18.140625" style="73" customWidth="1"/>
    <col min="7415" max="7415" width="17.28515625" style="73" customWidth="1"/>
    <col min="7416" max="7416" width="17.5703125" style="73" customWidth="1"/>
    <col min="7417" max="7417" width="9.140625" style="73"/>
    <col min="7418" max="7418" width="10.42578125" style="73" bestFit="1" customWidth="1"/>
    <col min="7419" max="7419" width="9.42578125" style="73" bestFit="1" customWidth="1"/>
    <col min="7420" max="7665" width="9.140625" style="73"/>
    <col min="7666" max="7666" width="2.85546875" style="73" customWidth="1"/>
    <col min="7667" max="7667" width="3.7109375" style="73" customWidth="1"/>
    <col min="7668" max="7668" width="6.28515625" style="73" customWidth="1"/>
    <col min="7669" max="7669" width="37.28515625" style="73" customWidth="1"/>
    <col min="7670" max="7670" width="18.140625" style="73" customWidth="1"/>
    <col min="7671" max="7671" width="17.28515625" style="73" customWidth="1"/>
    <col min="7672" max="7672" width="17.5703125" style="73" customWidth="1"/>
    <col min="7673" max="7673" width="9.140625" style="73"/>
    <col min="7674" max="7674" width="10.42578125" style="73" bestFit="1" customWidth="1"/>
    <col min="7675" max="7675" width="9.42578125" style="73" bestFit="1" customWidth="1"/>
    <col min="7676" max="7921" width="9.140625" style="73"/>
    <col min="7922" max="7922" width="2.85546875" style="73" customWidth="1"/>
    <col min="7923" max="7923" width="3.7109375" style="73" customWidth="1"/>
    <col min="7924" max="7924" width="6.28515625" style="73" customWidth="1"/>
    <col min="7925" max="7925" width="37.28515625" style="73" customWidth="1"/>
    <col min="7926" max="7926" width="18.140625" style="73" customWidth="1"/>
    <col min="7927" max="7927" width="17.28515625" style="73" customWidth="1"/>
    <col min="7928" max="7928" width="17.5703125" style="73" customWidth="1"/>
    <col min="7929" max="7929" width="9.140625" style="73"/>
    <col min="7930" max="7930" width="10.42578125" style="73" bestFit="1" customWidth="1"/>
    <col min="7931" max="7931" width="9.42578125" style="73" bestFit="1" customWidth="1"/>
    <col min="7932" max="8177" width="9.140625" style="73"/>
    <col min="8178" max="8178" width="2.85546875" style="73" customWidth="1"/>
    <col min="8179" max="8179" width="3.7109375" style="73" customWidth="1"/>
    <col min="8180" max="8180" width="6.28515625" style="73" customWidth="1"/>
    <col min="8181" max="8181" width="37.28515625" style="73" customWidth="1"/>
    <col min="8182" max="8182" width="18.140625" style="73" customWidth="1"/>
    <col min="8183" max="8183" width="17.28515625" style="73" customWidth="1"/>
    <col min="8184" max="8184" width="17.5703125" style="73" customWidth="1"/>
    <col min="8185" max="8185" width="9.140625" style="73"/>
    <col min="8186" max="8186" width="10.42578125" style="73" bestFit="1" customWidth="1"/>
    <col min="8187" max="8187" width="9.42578125" style="73" bestFit="1" customWidth="1"/>
    <col min="8188" max="8433" width="9.140625" style="73"/>
    <col min="8434" max="8434" width="2.85546875" style="73" customWidth="1"/>
    <col min="8435" max="8435" width="3.7109375" style="73" customWidth="1"/>
    <col min="8436" max="8436" width="6.28515625" style="73" customWidth="1"/>
    <col min="8437" max="8437" width="37.28515625" style="73" customWidth="1"/>
    <col min="8438" max="8438" width="18.140625" style="73" customWidth="1"/>
    <col min="8439" max="8439" width="17.28515625" style="73" customWidth="1"/>
    <col min="8440" max="8440" width="17.5703125" style="73" customWidth="1"/>
    <col min="8441" max="8441" width="9.140625" style="73"/>
    <col min="8442" max="8442" width="10.42578125" style="73" bestFit="1" customWidth="1"/>
    <col min="8443" max="8443" width="9.42578125" style="73" bestFit="1" customWidth="1"/>
    <col min="8444" max="8689" width="9.140625" style="73"/>
    <col min="8690" max="8690" width="2.85546875" style="73" customWidth="1"/>
    <col min="8691" max="8691" width="3.7109375" style="73" customWidth="1"/>
    <col min="8692" max="8692" width="6.28515625" style="73" customWidth="1"/>
    <col min="8693" max="8693" width="37.28515625" style="73" customWidth="1"/>
    <col min="8694" max="8694" width="18.140625" style="73" customWidth="1"/>
    <col min="8695" max="8695" width="17.28515625" style="73" customWidth="1"/>
    <col min="8696" max="8696" width="17.5703125" style="73" customWidth="1"/>
    <col min="8697" max="8697" width="9.140625" style="73"/>
    <col min="8698" max="8698" width="10.42578125" style="73" bestFit="1" customWidth="1"/>
    <col min="8699" max="8699" width="9.42578125" style="73" bestFit="1" customWidth="1"/>
    <col min="8700" max="8945" width="9.140625" style="73"/>
    <col min="8946" max="8946" width="2.85546875" style="73" customWidth="1"/>
    <col min="8947" max="8947" width="3.7109375" style="73" customWidth="1"/>
    <col min="8948" max="8948" width="6.28515625" style="73" customWidth="1"/>
    <col min="8949" max="8949" width="37.28515625" style="73" customWidth="1"/>
    <col min="8950" max="8950" width="18.140625" style="73" customWidth="1"/>
    <col min="8951" max="8951" width="17.28515625" style="73" customWidth="1"/>
    <col min="8952" max="8952" width="17.5703125" style="73" customWidth="1"/>
    <col min="8953" max="8953" width="9.140625" style="73"/>
    <col min="8954" max="8954" width="10.42578125" style="73" bestFit="1" customWidth="1"/>
    <col min="8955" max="8955" width="9.42578125" style="73" bestFit="1" customWidth="1"/>
    <col min="8956" max="9201" width="9.140625" style="73"/>
    <col min="9202" max="9202" width="2.85546875" style="73" customWidth="1"/>
    <col min="9203" max="9203" width="3.7109375" style="73" customWidth="1"/>
    <col min="9204" max="9204" width="6.28515625" style="73" customWidth="1"/>
    <col min="9205" max="9205" width="37.28515625" style="73" customWidth="1"/>
    <col min="9206" max="9206" width="18.140625" style="73" customWidth="1"/>
    <col min="9207" max="9207" width="17.28515625" style="73" customWidth="1"/>
    <col min="9208" max="9208" width="17.5703125" style="73" customWidth="1"/>
    <col min="9209" max="9209" width="9.140625" style="73"/>
    <col min="9210" max="9210" width="10.42578125" style="73" bestFit="1" customWidth="1"/>
    <col min="9211" max="9211" width="9.42578125" style="73" bestFit="1" customWidth="1"/>
    <col min="9212" max="9457" width="9.140625" style="73"/>
    <col min="9458" max="9458" width="2.85546875" style="73" customWidth="1"/>
    <col min="9459" max="9459" width="3.7109375" style="73" customWidth="1"/>
    <col min="9460" max="9460" width="6.28515625" style="73" customWidth="1"/>
    <col min="9461" max="9461" width="37.28515625" style="73" customWidth="1"/>
    <col min="9462" max="9462" width="18.140625" style="73" customWidth="1"/>
    <col min="9463" max="9463" width="17.28515625" style="73" customWidth="1"/>
    <col min="9464" max="9464" width="17.5703125" style="73" customWidth="1"/>
    <col min="9465" max="9465" width="9.140625" style="73"/>
    <col min="9466" max="9466" width="10.42578125" style="73" bestFit="1" customWidth="1"/>
    <col min="9467" max="9467" width="9.42578125" style="73" bestFit="1" customWidth="1"/>
    <col min="9468" max="9713" width="9.140625" style="73"/>
    <col min="9714" max="9714" width="2.85546875" style="73" customWidth="1"/>
    <col min="9715" max="9715" width="3.7109375" style="73" customWidth="1"/>
    <col min="9716" max="9716" width="6.28515625" style="73" customWidth="1"/>
    <col min="9717" max="9717" width="37.28515625" style="73" customWidth="1"/>
    <col min="9718" max="9718" width="18.140625" style="73" customWidth="1"/>
    <col min="9719" max="9719" width="17.28515625" style="73" customWidth="1"/>
    <col min="9720" max="9720" width="17.5703125" style="73" customWidth="1"/>
    <col min="9721" max="9721" width="9.140625" style="73"/>
    <col min="9722" max="9722" width="10.42578125" style="73" bestFit="1" customWidth="1"/>
    <col min="9723" max="9723" width="9.42578125" style="73" bestFit="1" customWidth="1"/>
    <col min="9724" max="9969" width="9.140625" style="73"/>
    <col min="9970" max="9970" width="2.85546875" style="73" customWidth="1"/>
    <col min="9971" max="9971" width="3.7109375" style="73" customWidth="1"/>
    <col min="9972" max="9972" width="6.28515625" style="73" customWidth="1"/>
    <col min="9973" max="9973" width="37.28515625" style="73" customWidth="1"/>
    <col min="9974" max="9974" width="18.140625" style="73" customWidth="1"/>
    <col min="9975" max="9975" width="17.28515625" style="73" customWidth="1"/>
    <col min="9976" max="9976" width="17.5703125" style="73" customWidth="1"/>
    <col min="9977" max="9977" width="9.140625" style="73"/>
    <col min="9978" max="9978" width="10.42578125" style="73" bestFit="1" customWidth="1"/>
    <col min="9979" max="9979" width="9.42578125" style="73" bestFit="1" customWidth="1"/>
    <col min="9980" max="10225" width="9.140625" style="73"/>
    <col min="10226" max="10226" width="2.85546875" style="73" customWidth="1"/>
    <col min="10227" max="10227" width="3.7109375" style="73" customWidth="1"/>
    <col min="10228" max="10228" width="6.28515625" style="73" customWidth="1"/>
    <col min="10229" max="10229" width="37.28515625" style="73" customWidth="1"/>
    <col min="10230" max="10230" width="18.140625" style="73" customWidth="1"/>
    <col min="10231" max="10231" width="17.28515625" style="73" customWidth="1"/>
    <col min="10232" max="10232" width="17.5703125" style="73" customWidth="1"/>
    <col min="10233" max="10233" width="9.140625" style="73"/>
    <col min="10234" max="10234" width="10.42578125" style="73" bestFit="1" customWidth="1"/>
    <col min="10235" max="10235" width="9.42578125" style="73" bestFit="1" customWidth="1"/>
    <col min="10236" max="10481" width="9.140625" style="73"/>
    <col min="10482" max="10482" width="2.85546875" style="73" customWidth="1"/>
    <col min="10483" max="10483" width="3.7109375" style="73" customWidth="1"/>
    <col min="10484" max="10484" width="6.28515625" style="73" customWidth="1"/>
    <col min="10485" max="10485" width="37.28515625" style="73" customWidth="1"/>
    <col min="10486" max="10486" width="18.140625" style="73" customWidth="1"/>
    <col min="10487" max="10487" width="17.28515625" style="73" customWidth="1"/>
    <col min="10488" max="10488" width="17.5703125" style="73" customWidth="1"/>
    <col min="10489" max="10489" width="9.140625" style="73"/>
    <col min="10490" max="10490" width="10.42578125" style="73" bestFit="1" customWidth="1"/>
    <col min="10491" max="10491" width="9.42578125" style="73" bestFit="1" customWidth="1"/>
    <col min="10492" max="10737" width="9.140625" style="73"/>
    <col min="10738" max="10738" width="2.85546875" style="73" customWidth="1"/>
    <col min="10739" max="10739" width="3.7109375" style="73" customWidth="1"/>
    <col min="10740" max="10740" width="6.28515625" style="73" customWidth="1"/>
    <col min="10741" max="10741" width="37.28515625" style="73" customWidth="1"/>
    <col min="10742" max="10742" width="18.140625" style="73" customWidth="1"/>
    <col min="10743" max="10743" width="17.28515625" style="73" customWidth="1"/>
    <col min="10744" max="10744" width="17.5703125" style="73" customWidth="1"/>
    <col min="10745" max="10745" width="9.140625" style="73"/>
    <col min="10746" max="10746" width="10.42578125" style="73" bestFit="1" customWidth="1"/>
    <col min="10747" max="10747" width="9.42578125" style="73" bestFit="1" customWidth="1"/>
    <col min="10748" max="10993" width="9.140625" style="73"/>
    <col min="10994" max="10994" width="2.85546875" style="73" customWidth="1"/>
    <col min="10995" max="10995" width="3.7109375" style="73" customWidth="1"/>
    <col min="10996" max="10996" width="6.28515625" style="73" customWidth="1"/>
    <col min="10997" max="10997" width="37.28515625" style="73" customWidth="1"/>
    <col min="10998" max="10998" width="18.140625" style="73" customWidth="1"/>
    <col min="10999" max="10999" width="17.28515625" style="73" customWidth="1"/>
    <col min="11000" max="11000" width="17.5703125" style="73" customWidth="1"/>
    <col min="11001" max="11001" width="9.140625" style="73"/>
    <col min="11002" max="11002" width="10.42578125" style="73" bestFit="1" customWidth="1"/>
    <col min="11003" max="11003" width="9.42578125" style="73" bestFit="1" customWidth="1"/>
    <col min="11004" max="11249" width="9.140625" style="73"/>
    <col min="11250" max="11250" width="2.85546875" style="73" customWidth="1"/>
    <col min="11251" max="11251" width="3.7109375" style="73" customWidth="1"/>
    <col min="11252" max="11252" width="6.28515625" style="73" customWidth="1"/>
    <col min="11253" max="11253" width="37.28515625" style="73" customWidth="1"/>
    <col min="11254" max="11254" width="18.140625" style="73" customWidth="1"/>
    <col min="11255" max="11255" width="17.28515625" style="73" customWidth="1"/>
    <col min="11256" max="11256" width="17.5703125" style="73" customWidth="1"/>
    <col min="11257" max="11257" width="9.140625" style="73"/>
    <col min="11258" max="11258" width="10.42578125" style="73" bestFit="1" customWidth="1"/>
    <col min="11259" max="11259" width="9.42578125" style="73" bestFit="1" customWidth="1"/>
    <col min="11260" max="11505" width="9.140625" style="73"/>
    <col min="11506" max="11506" width="2.85546875" style="73" customWidth="1"/>
    <col min="11507" max="11507" width="3.7109375" style="73" customWidth="1"/>
    <col min="11508" max="11508" width="6.28515625" style="73" customWidth="1"/>
    <col min="11509" max="11509" width="37.28515625" style="73" customWidth="1"/>
    <col min="11510" max="11510" width="18.140625" style="73" customWidth="1"/>
    <col min="11511" max="11511" width="17.28515625" style="73" customWidth="1"/>
    <col min="11512" max="11512" width="17.5703125" style="73" customWidth="1"/>
    <col min="11513" max="11513" width="9.140625" style="73"/>
    <col min="11514" max="11514" width="10.42578125" style="73" bestFit="1" customWidth="1"/>
    <col min="11515" max="11515" width="9.42578125" style="73" bestFit="1" customWidth="1"/>
    <col min="11516" max="11761" width="9.140625" style="73"/>
    <col min="11762" max="11762" width="2.85546875" style="73" customWidth="1"/>
    <col min="11763" max="11763" width="3.7109375" style="73" customWidth="1"/>
    <col min="11764" max="11764" width="6.28515625" style="73" customWidth="1"/>
    <col min="11765" max="11765" width="37.28515625" style="73" customWidth="1"/>
    <col min="11766" max="11766" width="18.140625" style="73" customWidth="1"/>
    <col min="11767" max="11767" width="17.28515625" style="73" customWidth="1"/>
    <col min="11768" max="11768" width="17.5703125" style="73" customWidth="1"/>
    <col min="11769" max="11769" width="9.140625" style="73"/>
    <col min="11770" max="11770" width="10.42578125" style="73" bestFit="1" customWidth="1"/>
    <col min="11771" max="11771" width="9.42578125" style="73" bestFit="1" customWidth="1"/>
    <col min="11772" max="12017" width="9.140625" style="73"/>
    <col min="12018" max="12018" width="2.85546875" style="73" customWidth="1"/>
    <col min="12019" max="12019" width="3.7109375" style="73" customWidth="1"/>
    <col min="12020" max="12020" width="6.28515625" style="73" customWidth="1"/>
    <col min="12021" max="12021" width="37.28515625" style="73" customWidth="1"/>
    <col min="12022" max="12022" width="18.140625" style="73" customWidth="1"/>
    <col min="12023" max="12023" width="17.28515625" style="73" customWidth="1"/>
    <col min="12024" max="12024" width="17.5703125" style="73" customWidth="1"/>
    <col min="12025" max="12025" width="9.140625" style="73"/>
    <col min="12026" max="12026" width="10.42578125" style="73" bestFit="1" customWidth="1"/>
    <col min="12027" max="12027" width="9.42578125" style="73" bestFit="1" customWidth="1"/>
    <col min="12028" max="12273" width="9.140625" style="73"/>
    <col min="12274" max="12274" width="2.85546875" style="73" customWidth="1"/>
    <col min="12275" max="12275" width="3.7109375" style="73" customWidth="1"/>
    <col min="12276" max="12276" width="6.28515625" style="73" customWidth="1"/>
    <col min="12277" max="12277" width="37.28515625" style="73" customWidth="1"/>
    <col min="12278" max="12278" width="18.140625" style="73" customWidth="1"/>
    <col min="12279" max="12279" width="17.28515625" style="73" customWidth="1"/>
    <col min="12280" max="12280" width="17.5703125" style="73" customWidth="1"/>
    <col min="12281" max="12281" width="9.140625" style="73"/>
    <col min="12282" max="12282" width="10.42578125" style="73" bestFit="1" customWidth="1"/>
    <col min="12283" max="12283" width="9.42578125" style="73" bestFit="1" customWidth="1"/>
    <col min="12284" max="12529" width="9.140625" style="73"/>
    <col min="12530" max="12530" width="2.85546875" style="73" customWidth="1"/>
    <col min="12531" max="12531" width="3.7109375" style="73" customWidth="1"/>
    <col min="12532" max="12532" width="6.28515625" style="73" customWidth="1"/>
    <col min="12533" max="12533" width="37.28515625" style="73" customWidth="1"/>
    <col min="12534" max="12534" width="18.140625" style="73" customWidth="1"/>
    <col min="12535" max="12535" width="17.28515625" style="73" customWidth="1"/>
    <col min="12536" max="12536" width="17.5703125" style="73" customWidth="1"/>
    <col min="12537" max="12537" width="9.140625" style="73"/>
    <col min="12538" max="12538" width="10.42578125" style="73" bestFit="1" customWidth="1"/>
    <col min="12539" max="12539" width="9.42578125" style="73" bestFit="1" customWidth="1"/>
    <col min="12540" max="12785" width="9.140625" style="73"/>
    <col min="12786" max="12786" width="2.85546875" style="73" customWidth="1"/>
    <col min="12787" max="12787" width="3.7109375" style="73" customWidth="1"/>
    <col min="12788" max="12788" width="6.28515625" style="73" customWidth="1"/>
    <col min="12789" max="12789" width="37.28515625" style="73" customWidth="1"/>
    <col min="12790" max="12790" width="18.140625" style="73" customWidth="1"/>
    <col min="12791" max="12791" width="17.28515625" style="73" customWidth="1"/>
    <col min="12792" max="12792" width="17.5703125" style="73" customWidth="1"/>
    <col min="12793" max="12793" width="9.140625" style="73"/>
    <col min="12794" max="12794" width="10.42578125" style="73" bestFit="1" customWidth="1"/>
    <col min="12795" max="12795" width="9.42578125" style="73" bestFit="1" customWidth="1"/>
    <col min="12796" max="13041" width="9.140625" style="73"/>
    <col min="13042" max="13042" width="2.85546875" style="73" customWidth="1"/>
    <col min="13043" max="13043" width="3.7109375" style="73" customWidth="1"/>
    <col min="13044" max="13044" width="6.28515625" style="73" customWidth="1"/>
    <col min="13045" max="13045" width="37.28515625" style="73" customWidth="1"/>
    <col min="13046" max="13046" width="18.140625" style="73" customWidth="1"/>
    <col min="13047" max="13047" width="17.28515625" style="73" customWidth="1"/>
    <col min="13048" max="13048" width="17.5703125" style="73" customWidth="1"/>
    <col min="13049" max="13049" width="9.140625" style="73"/>
    <col min="13050" max="13050" width="10.42578125" style="73" bestFit="1" customWidth="1"/>
    <col min="13051" max="13051" width="9.42578125" style="73" bestFit="1" customWidth="1"/>
    <col min="13052" max="13297" width="9.140625" style="73"/>
    <col min="13298" max="13298" width="2.85546875" style="73" customWidth="1"/>
    <col min="13299" max="13299" width="3.7109375" style="73" customWidth="1"/>
    <col min="13300" max="13300" width="6.28515625" style="73" customWidth="1"/>
    <col min="13301" max="13301" width="37.28515625" style="73" customWidth="1"/>
    <col min="13302" max="13302" width="18.140625" style="73" customWidth="1"/>
    <col min="13303" max="13303" width="17.28515625" style="73" customWidth="1"/>
    <col min="13304" max="13304" width="17.5703125" style="73" customWidth="1"/>
    <col min="13305" max="13305" width="9.140625" style="73"/>
    <col min="13306" max="13306" width="10.42578125" style="73" bestFit="1" customWidth="1"/>
    <col min="13307" max="13307" width="9.42578125" style="73" bestFit="1" customWidth="1"/>
    <col min="13308" max="13553" width="9.140625" style="73"/>
    <col min="13554" max="13554" width="2.85546875" style="73" customWidth="1"/>
    <col min="13555" max="13555" width="3.7109375" style="73" customWidth="1"/>
    <col min="13556" max="13556" width="6.28515625" style="73" customWidth="1"/>
    <col min="13557" max="13557" width="37.28515625" style="73" customWidth="1"/>
    <col min="13558" max="13558" width="18.140625" style="73" customWidth="1"/>
    <col min="13559" max="13559" width="17.28515625" style="73" customWidth="1"/>
    <col min="13560" max="13560" width="17.5703125" style="73" customWidth="1"/>
    <col min="13561" max="13561" width="9.140625" style="73"/>
    <col min="13562" max="13562" width="10.42578125" style="73" bestFit="1" customWidth="1"/>
    <col min="13563" max="13563" width="9.42578125" style="73" bestFit="1" customWidth="1"/>
    <col min="13564" max="13809" width="9.140625" style="73"/>
    <col min="13810" max="13810" width="2.85546875" style="73" customWidth="1"/>
    <col min="13811" max="13811" width="3.7109375" style="73" customWidth="1"/>
    <col min="13812" max="13812" width="6.28515625" style="73" customWidth="1"/>
    <col min="13813" max="13813" width="37.28515625" style="73" customWidth="1"/>
    <col min="13814" max="13814" width="18.140625" style="73" customWidth="1"/>
    <col min="13815" max="13815" width="17.28515625" style="73" customWidth="1"/>
    <col min="13816" max="13816" width="17.5703125" style="73" customWidth="1"/>
    <col min="13817" max="13817" width="9.140625" style="73"/>
    <col min="13818" max="13818" width="10.42578125" style="73" bestFit="1" customWidth="1"/>
    <col min="13819" max="13819" width="9.42578125" style="73" bestFit="1" customWidth="1"/>
    <col min="13820" max="14065" width="9.140625" style="73"/>
    <col min="14066" max="14066" width="2.85546875" style="73" customWidth="1"/>
    <col min="14067" max="14067" width="3.7109375" style="73" customWidth="1"/>
    <col min="14068" max="14068" width="6.28515625" style="73" customWidth="1"/>
    <col min="14069" max="14069" width="37.28515625" style="73" customWidth="1"/>
    <col min="14070" max="14070" width="18.140625" style="73" customWidth="1"/>
    <col min="14071" max="14071" width="17.28515625" style="73" customWidth="1"/>
    <col min="14072" max="14072" width="17.5703125" style="73" customWidth="1"/>
    <col min="14073" max="14073" width="9.140625" style="73"/>
    <col min="14074" max="14074" width="10.42578125" style="73" bestFit="1" customWidth="1"/>
    <col min="14075" max="14075" width="9.42578125" style="73" bestFit="1" customWidth="1"/>
    <col min="14076" max="14321" width="9.140625" style="73"/>
    <col min="14322" max="14322" width="2.85546875" style="73" customWidth="1"/>
    <col min="14323" max="14323" width="3.7109375" style="73" customWidth="1"/>
    <col min="14324" max="14324" width="6.28515625" style="73" customWidth="1"/>
    <col min="14325" max="14325" width="37.28515625" style="73" customWidth="1"/>
    <col min="14326" max="14326" width="18.140625" style="73" customWidth="1"/>
    <col min="14327" max="14327" width="17.28515625" style="73" customWidth="1"/>
    <col min="14328" max="14328" width="17.5703125" style="73" customWidth="1"/>
    <col min="14329" max="14329" width="9.140625" style="73"/>
    <col min="14330" max="14330" width="10.42578125" style="73" bestFit="1" customWidth="1"/>
    <col min="14331" max="14331" width="9.42578125" style="73" bestFit="1" customWidth="1"/>
    <col min="14332" max="14577" width="9.140625" style="73"/>
    <col min="14578" max="14578" width="2.85546875" style="73" customWidth="1"/>
    <col min="14579" max="14579" width="3.7109375" style="73" customWidth="1"/>
    <col min="14580" max="14580" width="6.28515625" style="73" customWidth="1"/>
    <col min="14581" max="14581" width="37.28515625" style="73" customWidth="1"/>
    <col min="14582" max="14582" width="18.140625" style="73" customWidth="1"/>
    <col min="14583" max="14583" width="17.28515625" style="73" customWidth="1"/>
    <col min="14584" max="14584" width="17.5703125" style="73" customWidth="1"/>
    <col min="14585" max="14585" width="9.140625" style="73"/>
    <col min="14586" max="14586" width="10.42578125" style="73" bestFit="1" customWidth="1"/>
    <col min="14587" max="14587" width="9.42578125" style="73" bestFit="1" customWidth="1"/>
    <col min="14588" max="14833" width="9.140625" style="73"/>
    <col min="14834" max="14834" width="2.85546875" style="73" customWidth="1"/>
    <col min="14835" max="14835" width="3.7109375" style="73" customWidth="1"/>
    <col min="14836" max="14836" width="6.28515625" style="73" customWidth="1"/>
    <col min="14837" max="14837" width="37.28515625" style="73" customWidth="1"/>
    <col min="14838" max="14838" width="18.140625" style="73" customWidth="1"/>
    <col min="14839" max="14839" width="17.28515625" style="73" customWidth="1"/>
    <col min="14840" max="14840" width="17.5703125" style="73" customWidth="1"/>
    <col min="14841" max="14841" width="9.140625" style="73"/>
    <col min="14842" max="14842" width="10.42578125" style="73" bestFit="1" customWidth="1"/>
    <col min="14843" max="14843" width="9.42578125" style="73" bestFit="1" customWidth="1"/>
    <col min="14844" max="15089" width="9.140625" style="73"/>
    <col min="15090" max="15090" width="2.85546875" style="73" customWidth="1"/>
    <col min="15091" max="15091" width="3.7109375" style="73" customWidth="1"/>
    <col min="15092" max="15092" width="6.28515625" style="73" customWidth="1"/>
    <col min="15093" max="15093" width="37.28515625" style="73" customWidth="1"/>
    <col min="15094" max="15094" width="18.140625" style="73" customWidth="1"/>
    <col min="15095" max="15095" width="17.28515625" style="73" customWidth="1"/>
    <col min="15096" max="15096" width="17.5703125" style="73" customWidth="1"/>
    <col min="15097" max="15097" width="9.140625" style="73"/>
    <col min="15098" max="15098" width="10.42578125" style="73" bestFit="1" customWidth="1"/>
    <col min="15099" max="15099" width="9.42578125" style="73" bestFit="1" customWidth="1"/>
    <col min="15100" max="15345" width="9.140625" style="73"/>
    <col min="15346" max="15346" width="2.85546875" style="73" customWidth="1"/>
    <col min="15347" max="15347" width="3.7109375" style="73" customWidth="1"/>
    <col min="15348" max="15348" width="6.28515625" style="73" customWidth="1"/>
    <col min="15349" max="15349" width="37.28515625" style="73" customWidth="1"/>
    <col min="15350" max="15350" width="18.140625" style="73" customWidth="1"/>
    <col min="15351" max="15351" width="17.28515625" style="73" customWidth="1"/>
    <col min="15352" max="15352" width="17.5703125" style="73" customWidth="1"/>
    <col min="15353" max="15353" width="9.140625" style="73"/>
    <col min="15354" max="15354" width="10.42578125" style="73" bestFit="1" customWidth="1"/>
    <col min="15355" max="15355" width="9.42578125" style="73" bestFit="1" customWidth="1"/>
    <col min="15356" max="15601" width="9.140625" style="73"/>
    <col min="15602" max="15602" width="2.85546875" style="73" customWidth="1"/>
    <col min="15603" max="15603" width="3.7109375" style="73" customWidth="1"/>
    <col min="15604" max="15604" width="6.28515625" style="73" customWidth="1"/>
    <col min="15605" max="15605" width="37.28515625" style="73" customWidth="1"/>
    <col min="15606" max="15606" width="18.140625" style="73" customWidth="1"/>
    <col min="15607" max="15607" width="17.28515625" style="73" customWidth="1"/>
    <col min="15608" max="15608" width="17.5703125" style="73" customWidth="1"/>
    <col min="15609" max="15609" width="9.140625" style="73"/>
    <col min="15610" max="15610" width="10.42578125" style="73" bestFit="1" customWidth="1"/>
    <col min="15611" max="15611" width="9.42578125" style="73" bestFit="1" customWidth="1"/>
    <col min="15612" max="15857" width="9.140625" style="73"/>
    <col min="15858" max="15858" width="2.85546875" style="73" customWidth="1"/>
    <col min="15859" max="15859" width="3.7109375" style="73" customWidth="1"/>
    <col min="15860" max="15860" width="6.28515625" style="73" customWidth="1"/>
    <col min="15861" max="15861" width="37.28515625" style="73" customWidth="1"/>
    <col min="15862" max="15862" width="18.140625" style="73" customWidth="1"/>
    <col min="15863" max="15863" width="17.28515625" style="73" customWidth="1"/>
    <col min="15864" max="15864" width="17.5703125" style="73" customWidth="1"/>
    <col min="15865" max="15865" width="9.140625" style="73"/>
    <col min="15866" max="15866" width="10.42578125" style="73" bestFit="1" customWidth="1"/>
    <col min="15867" max="15867" width="9.42578125" style="73" bestFit="1" customWidth="1"/>
    <col min="15868" max="16113" width="9.140625" style="73"/>
    <col min="16114" max="16114" width="2.85546875" style="73" customWidth="1"/>
    <col min="16115" max="16115" width="3.7109375" style="73" customWidth="1"/>
    <col min="16116" max="16116" width="6.28515625" style="73" customWidth="1"/>
    <col min="16117" max="16117" width="37.28515625" style="73" customWidth="1"/>
    <col min="16118" max="16118" width="18.140625" style="73" customWidth="1"/>
    <col min="16119" max="16119" width="17.28515625" style="73" customWidth="1"/>
    <col min="16120" max="16120" width="17.5703125" style="73" customWidth="1"/>
    <col min="16121" max="16121" width="9.140625" style="73"/>
    <col min="16122" max="16122" width="10.42578125" style="73" bestFit="1" customWidth="1"/>
    <col min="16123" max="16123" width="9.42578125" style="73" bestFit="1" customWidth="1"/>
    <col min="16124" max="16384" width="9.140625" style="73"/>
  </cols>
  <sheetData>
    <row r="1" spans="1:11" ht="33" customHeight="1" x14ac:dyDescent="0.2">
      <c r="A1" s="456" t="s">
        <v>7</v>
      </c>
      <c r="B1" s="456"/>
      <c r="C1" s="456"/>
      <c r="D1" s="456"/>
      <c r="E1" s="456"/>
      <c r="F1" s="456"/>
      <c r="G1" s="456"/>
      <c r="H1" s="456"/>
      <c r="I1" s="456"/>
      <c r="J1" s="456"/>
    </row>
    <row r="2" spans="1:11" s="75" customFormat="1" ht="74.25" customHeight="1" x14ac:dyDescent="0.2">
      <c r="A2" s="74" t="s">
        <v>8</v>
      </c>
      <c r="B2" s="74" t="s">
        <v>9</v>
      </c>
      <c r="C2" s="201" t="s">
        <v>10</v>
      </c>
      <c r="D2" s="202" t="s">
        <v>77</v>
      </c>
      <c r="E2" s="202" t="s">
        <v>437</v>
      </c>
      <c r="F2" s="201"/>
      <c r="G2" s="197" t="s">
        <v>11</v>
      </c>
      <c r="H2" s="218" t="s">
        <v>510</v>
      </c>
      <c r="I2" s="278" t="s">
        <v>413</v>
      </c>
      <c r="J2" s="278" t="s">
        <v>511</v>
      </c>
    </row>
    <row r="3" spans="1:11" s="105" customFormat="1" ht="13.5" customHeight="1" x14ac:dyDescent="0.15">
      <c r="A3" s="104">
        <v>1</v>
      </c>
      <c r="B3" s="104">
        <v>2</v>
      </c>
      <c r="C3" s="104">
        <v>3</v>
      </c>
      <c r="D3" s="104">
        <v>4</v>
      </c>
      <c r="E3" s="104">
        <v>5</v>
      </c>
      <c r="F3" s="104">
        <v>6</v>
      </c>
      <c r="G3" s="104">
        <v>3</v>
      </c>
      <c r="H3" s="104">
        <v>4</v>
      </c>
      <c r="I3" s="296">
        <v>5</v>
      </c>
      <c r="J3" s="296">
        <v>6</v>
      </c>
    </row>
    <row r="4" spans="1:11" ht="20.100000000000001" customHeight="1" x14ac:dyDescent="0.2">
      <c r="A4" s="76">
        <v>3</v>
      </c>
      <c r="B4" s="77"/>
      <c r="C4" s="85"/>
      <c r="D4" s="85"/>
      <c r="E4" s="85"/>
      <c r="F4" s="85"/>
      <c r="G4" s="160" t="s">
        <v>12</v>
      </c>
      <c r="H4" s="203">
        <f>H5+H48+H208+H224+H218</f>
        <v>2895725.72</v>
      </c>
      <c r="I4" s="203">
        <f>I5+I48+I208+I224+I218</f>
        <v>210133.38</v>
      </c>
      <c r="J4" s="203">
        <f>J5+J48+J208+J224+J218</f>
        <v>3105859.1</v>
      </c>
    </row>
    <row r="5" spans="1:11" ht="20.100000000000001" customHeight="1" x14ac:dyDescent="0.2">
      <c r="A5" s="77"/>
      <c r="B5" s="77">
        <v>31</v>
      </c>
      <c r="C5" s="87"/>
      <c r="D5" s="87"/>
      <c r="E5" s="87"/>
      <c r="F5" s="87"/>
      <c r="G5" s="198" t="s">
        <v>13</v>
      </c>
      <c r="H5" s="89">
        <f>H6+H22+H36</f>
        <v>1725152.12</v>
      </c>
      <c r="I5" s="89">
        <f>I6+I22+I36</f>
        <v>141773.85999999999</v>
      </c>
      <c r="J5" s="89">
        <f>J6+J22+J36</f>
        <v>1866925.98</v>
      </c>
    </row>
    <row r="6" spans="1:11" s="75" customFormat="1" ht="20.100000000000001" hidden="1" customHeight="1" x14ac:dyDescent="0.2">
      <c r="A6" s="77"/>
      <c r="B6" s="77"/>
      <c r="C6" s="87">
        <v>311</v>
      </c>
      <c r="D6" s="87"/>
      <c r="E6" s="87"/>
      <c r="F6" s="87"/>
      <c r="G6" s="198" t="s">
        <v>14</v>
      </c>
      <c r="H6" s="89">
        <f>H7+H15+H18</f>
        <v>1407665.74</v>
      </c>
      <c r="I6" s="89">
        <f>I7+I15+I18</f>
        <v>134033.24</v>
      </c>
      <c r="J6" s="89">
        <f>J7+J15+J18</f>
        <v>1541698.98</v>
      </c>
      <c r="K6" s="79"/>
    </row>
    <row r="7" spans="1:11" ht="20.100000000000001" hidden="1" customHeight="1" x14ac:dyDescent="0.2">
      <c r="A7" s="78"/>
      <c r="B7" s="78"/>
      <c r="C7" s="85"/>
      <c r="D7" s="85">
        <v>3111</v>
      </c>
      <c r="E7" s="85"/>
      <c r="F7" s="85"/>
      <c r="G7" s="94" t="s">
        <v>15</v>
      </c>
      <c r="H7" s="90">
        <f t="shared" ref="H7:J7" si="0">H8</f>
        <v>1256248.47</v>
      </c>
      <c r="I7" s="90">
        <f t="shared" si="0"/>
        <v>126890.73999999999</v>
      </c>
      <c r="J7" s="90">
        <f t="shared" si="0"/>
        <v>1383139.21</v>
      </c>
    </row>
    <row r="8" spans="1:11" ht="20.100000000000001" hidden="1" customHeight="1" x14ac:dyDescent="0.2">
      <c r="A8" s="78"/>
      <c r="B8" s="78"/>
      <c r="C8" s="85"/>
      <c r="D8" s="85"/>
      <c r="E8" s="85">
        <v>31111</v>
      </c>
      <c r="F8" s="85"/>
      <c r="G8" s="94" t="s">
        <v>82</v>
      </c>
      <c r="H8" s="90">
        <f>H9+H10+H11+H12+H13+H14</f>
        <v>1256248.47</v>
      </c>
      <c r="I8" s="90">
        <f>I9+I10+I11+I12+I13+I14</f>
        <v>126890.73999999999</v>
      </c>
      <c r="J8" s="90">
        <f>J9+J10+J11+J12+J13+J14</f>
        <v>1383139.21</v>
      </c>
    </row>
    <row r="9" spans="1:11" ht="20.100000000000001" hidden="1" customHeight="1" x14ac:dyDescent="0.2">
      <c r="A9" s="186"/>
      <c r="B9" s="186"/>
      <c r="C9" s="189"/>
      <c r="D9" s="189"/>
      <c r="E9" s="189"/>
      <c r="F9" s="189">
        <v>311110</v>
      </c>
      <c r="G9" s="190" t="s">
        <v>83</v>
      </c>
      <c r="H9" s="191">
        <f>1134848.47+35000+10000</f>
        <v>1179848.47</v>
      </c>
      <c r="I9" s="191">
        <f>J9-H9</f>
        <v>86890.739999999991</v>
      </c>
      <c r="J9" s="191">
        <v>1266739.21</v>
      </c>
    </row>
    <row r="10" spans="1:11" ht="20.100000000000001" hidden="1" customHeight="1" x14ac:dyDescent="0.2">
      <c r="A10" s="186"/>
      <c r="B10" s="186"/>
      <c r="C10" s="189"/>
      <c r="D10" s="189"/>
      <c r="E10" s="189"/>
      <c r="F10" s="189">
        <v>311110</v>
      </c>
      <c r="G10" s="190" t="s">
        <v>460</v>
      </c>
      <c r="H10" s="191">
        <v>29200</v>
      </c>
      <c r="I10" s="191">
        <f>J10-H10</f>
        <v>0</v>
      </c>
      <c r="J10" s="191">
        <v>29200</v>
      </c>
    </row>
    <row r="11" spans="1:11" ht="20.100000000000001" hidden="1" customHeight="1" x14ac:dyDescent="0.2">
      <c r="A11" s="186"/>
      <c r="B11" s="186"/>
      <c r="C11" s="189"/>
      <c r="D11" s="189"/>
      <c r="E11" s="189"/>
      <c r="F11" s="189">
        <v>311110</v>
      </c>
      <c r="G11" s="190" t="s">
        <v>460</v>
      </c>
      <c r="H11" s="191">
        <v>0</v>
      </c>
      <c r="I11" s="191">
        <v>0</v>
      </c>
      <c r="J11" s="191">
        <v>0</v>
      </c>
    </row>
    <row r="12" spans="1:11" ht="20.100000000000001" hidden="1" customHeight="1" x14ac:dyDescent="0.2">
      <c r="A12" s="186"/>
      <c r="B12" s="186"/>
      <c r="C12" s="189"/>
      <c r="D12" s="189"/>
      <c r="E12" s="189"/>
      <c r="F12" s="189">
        <v>311111</v>
      </c>
      <c r="G12" s="190" t="s">
        <v>473</v>
      </c>
      <c r="H12" s="191">
        <f>40800+2500</f>
        <v>43300</v>
      </c>
      <c r="I12" s="191">
        <f t="shared" ref="I12:I13" si="1">J12-H12</f>
        <v>4000</v>
      </c>
      <c r="J12" s="191">
        <v>47300</v>
      </c>
    </row>
    <row r="13" spans="1:11" ht="20.100000000000001" hidden="1" customHeight="1" x14ac:dyDescent="0.2">
      <c r="A13" s="186"/>
      <c r="B13" s="186"/>
      <c r="C13" s="189"/>
      <c r="D13" s="189"/>
      <c r="E13" s="189"/>
      <c r="F13" s="189">
        <v>311113</v>
      </c>
      <c r="G13" s="190" t="s">
        <v>494</v>
      </c>
      <c r="H13" s="191">
        <v>3900</v>
      </c>
      <c r="I13" s="191">
        <f t="shared" si="1"/>
        <v>0</v>
      </c>
      <c r="J13" s="191">
        <v>3900</v>
      </c>
    </row>
    <row r="14" spans="1:11" ht="20.100000000000001" hidden="1" customHeight="1" x14ac:dyDescent="0.2">
      <c r="A14" s="186"/>
      <c r="B14" s="186"/>
      <c r="C14" s="189"/>
      <c r="D14" s="189"/>
      <c r="E14" s="189"/>
      <c r="F14" s="402">
        <v>311114</v>
      </c>
      <c r="G14" s="403" t="s">
        <v>543</v>
      </c>
      <c r="H14" s="404">
        <v>0</v>
      </c>
      <c r="I14" s="404">
        <f>J14-H14</f>
        <v>36000</v>
      </c>
      <c r="J14" s="404">
        <v>36000</v>
      </c>
    </row>
    <row r="15" spans="1:11" ht="20.100000000000001" hidden="1" customHeight="1" x14ac:dyDescent="0.2">
      <c r="A15" s="78"/>
      <c r="B15" s="78"/>
      <c r="C15" s="85"/>
      <c r="D15" s="85">
        <v>3113</v>
      </c>
      <c r="E15" s="85"/>
      <c r="F15" s="85"/>
      <c r="G15" s="94" t="s">
        <v>16</v>
      </c>
      <c r="H15" s="90">
        <f t="shared" ref="H15:J16" si="2">H16</f>
        <v>16617.77</v>
      </c>
      <c r="I15" s="90">
        <f t="shared" si="2"/>
        <v>-585</v>
      </c>
      <c r="J15" s="90">
        <f t="shared" si="2"/>
        <v>16032.77</v>
      </c>
      <c r="K15" s="80"/>
    </row>
    <row r="16" spans="1:11" ht="20.100000000000001" hidden="1" customHeight="1" x14ac:dyDescent="0.2">
      <c r="A16" s="78"/>
      <c r="B16" s="78"/>
      <c r="C16" s="85"/>
      <c r="D16" s="85"/>
      <c r="E16" s="85">
        <v>31131</v>
      </c>
      <c r="F16" s="85"/>
      <c r="G16" s="94" t="s">
        <v>16</v>
      </c>
      <c r="H16" s="90">
        <f t="shared" si="2"/>
        <v>16617.77</v>
      </c>
      <c r="I16" s="90">
        <f t="shared" si="2"/>
        <v>-585</v>
      </c>
      <c r="J16" s="90">
        <f t="shared" si="2"/>
        <v>16032.77</v>
      </c>
      <c r="K16" s="80"/>
    </row>
    <row r="17" spans="1:11" ht="20.100000000000001" hidden="1" customHeight="1" x14ac:dyDescent="0.2">
      <c r="A17" s="186"/>
      <c r="B17" s="186"/>
      <c r="C17" s="189"/>
      <c r="D17" s="189"/>
      <c r="E17" s="189"/>
      <c r="F17" s="189">
        <v>311310</v>
      </c>
      <c r="G17" s="190" t="s">
        <v>16</v>
      </c>
      <c r="H17" s="191">
        <f>12765+1357.77+2000+500-5</f>
        <v>16617.77</v>
      </c>
      <c r="I17" s="191">
        <f>J17-H17</f>
        <v>-585</v>
      </c>
      <c r="J17" s="191">
        <v>16032.77</v>
      </c>
      <c r="K17" s="80"/>
    </row>
    <row r="18" spans="1:11" ht="20.100000000000001" hidden="1" customHeight="1" x14ac:dyDescent="0.2">
      <c r="A18" s="78"/>
      <c r="B18" s="78"/>
      <c r="C18" s="85"/>
      <c r="D18" s="85">
        <v>3114</v>
      </c>
      <c r="E18" s="85"/>
      <c r="F18" s="85"/>
      <c r="G18" s="94" t="s">
        <v>17</v>
      </c>
      <c r="H18" s="90">
        <f>H19</f>
        <v>134799.5</v>
      </c>
      <c r="I18" s="90">
        <f t="shared" ref="I18" si="3">I19</f>
        <v>7727.5</v>
      </c>
      <c r="J18" s="90">
        <f>J19</f>
        <v>142527</v>
      </c>
    </row>
    <row r="19" spans="1:11" ht="20.100000000000001" hidden="1" customHeight="1" x14ac:dyDescent="0.2">
      <c r="A19" s="78"/>
      <c r="B19" s="78"/>
      <c r="C19" s="85"/>
      <c r="D19" s="85"/>
      <c r="E19" s="85">
        <v>31141</v>
      </c>
      <c r="F19" s="85"/>
      <c r="G19" s="94" t="s">
        <v>17</v>
      </c>
      <c r="H19" s="90">
        <f>H20+H21</f>
        <v>134799.5</v>
      </c>
      <c r="I19" s="90">
        <f>I20+I21</f>
        <v>7727.5</v>
      </c>
      <c r="J19" s="90">
        <f>J20+J21</f>
        <v>142527</v>
      </c>
    </row>
    <row r="20" spans="1:11" ht="20.100000000000001" hidden="1" customHeight="1" x14ac:dyDescent="0.2">
      <c r="A20" s="186"/>
      <c r="B20" s="186"/>
      <c r="C20" s="189"/>
      <c r="D20" s="189"/>
      <c r="E20" s="189"/>
      <c r="F20" s="189">
        <v>311410</v>
      </c>
      <c r="G20" s="190" t="s">
        <v>17</v>
      </c>
      <c r="H20" s="191">
        <f>115804.5+3000+12000+5</f>
        <v>130809.5</v>
      </c>
      <c r="I20" s="191">
        <f>J20-H20</f>
        <v>7727.5</v>
      </c>
      <c r="J20" s="191">
        <v>138537</v>
      </c>
    </row>
    <row r="21" spans="1:11" ht="20.100000000000001" hidden="1" customHeight="1" x14ac:dyDescent="0.2">
      <c r="A21" s="186"/>
      <c r="B21" s="186"/>
      <c r="C21" s="189"/>
      <c r="D21" s="189"/>
      <c r="E21" s="189"/>
      <c r="F21" s="189">
        <v>311411</v>
      </c>
      <c r="G21" s="190" t="s">
        <v>497</v>
      </c>
      <c r="H21" s="191">
        <v>3990</v>
      </c>
      <c r="I21" s="191">
        <f>J21-H21</f>
        <v>0</v>
      </c>
      <c r="J21" s="191">
        <v>3990</v>
      </c>
    </row>
    <row r="22" spans="1:11" s="75" customFormat="1" ht="20.100000000000001" hidden="1" customHeight="1" x14ac:dyDescent="0.2">
      <c r="A22" s="81"/>
      <c r="B22" s="81"/>
      <c r="C22" s="88">
        <v>312</v>
      </c>
      <c r="D22" s="88"/>
      <c r="E22" s="88"/>
      <c r="F22" s="88"/>
      <c r="G22" s="82" t="s">
        <v>18</v>
      </c>
      <c r="H22" s="89">
        <f>H23</f>
        <v>69202</v>
      </c>
      <c r="I22" s="89">
        <f>I23</f>
        <v>-2030</v>
      </c>
      <c r="J22" s="89">
        <f>J23</f>
        <v>67172</v>
      </c>
    </row>
    <row r="23" spans="1:11" ht="20.100000000000001" hidden="1" customHeight="1" x14ac:dyDescent="0.2">
      <c r="A23" s="83"/>
      <c r="B23" s="83"/>
      <c r="C23" s="204"/>
      <c r="D23" s="204">
        <v>3121</v>
      </c>
      <c r="E23" s="204"/>
      <c r="F23" s="204"/>
      <c r="G23" s="84" t="s">
        <v>18</v>
      </c>
      <c r="H23" s="90">
        <f>H24+H26+H28+H30+H32+H34</f>
        <v>69202</v>
      </c>
      <c r="I23" s="90">
        <f>I24+I26+I28+I30+I32+I34</f>
        <v>-2030</v>
      </c>
      <c r="J23" s="90">
        <f>J24+J26+J28+J30+J32+J34</f>
        <v>67172</v>
      </c>
    </row>
    <row r="24" spans="1:11" ht="20.100000000000001" hidden="1" customHeight="1" x14ac:dyDescent="0.2">
      <c r="A24" s="83"/>
      <c r="B24" s="83"/>
      <c r="C24" s="204"/>
      <c r="D24" s="204"/>
      <c r="E24" s="204">
        <v>31212</v>
      </c>
      <c r="F24" s="204"/>
      <c r="G24" s="84" t="s">
        <v>85</v>
      </c>
      <c r="H24" s="90">
        <f>H25</f>
        <v>8660</v>
      </c>
      <c r="I24" s="90">
        <f>I25</f>
        <v>-1460</v>
      </c>
      <c r="J24" s="90">
        <f>J25</f>
        <v>7200</v>
      </c>
    </row>
    <row r="25" spans="1:11" ht="20.100000000000001" hidden="1" customHeight="1" x14ac:dyDescent="0.2">
      <c r="A25" s="187"/>
      <c r="B25" s="187"/>
      <c r="C25" s="205"/>
      <c r="D25" s="205"/>
      <c r="E25" s="205"/>
      <c r="F25" s="205">
        <v>312120</v>
      </c>
      <c r="G25" s="188" t="s">
        <v>85</v>
      </c>
      <c r="H25" s="191">
        <f>6660+2000</f>
        <v>8660</v>
      </c>
      <c r="I25" s="191">
        <f>J25-H25</f>
        <v>-1460</v>
      </c>
      <c r="J25" s="191">
        <v>7200</v>
      </c>
    </row>
    <row r="26" spans="1:11" ht="20.100000000000001" hidden="1" customHeight="1" x14ac:dyDescent="0.2">
      <c r="A26" s="83"/>
      <c r="B26" s="83"/>
      <c r="C26" s="204"/>
      <c r="D26" s="204"/>
      <c r="E26" s="204">
        <v>31213</v>
      </c>
      <c r="F26" s="204"/>
      <c r="G26" s="84" t="s">
        <v>88</v>
      </c>
      <c r="H26" s="90">
        <f>H27</f>
        <v>8500</v>
      </c>
      <c r="I26" s="90">
        <f>I27</f>
        <v>0</v>
      </c>
      <c r="J26" s="90">
        <f>J27</f>
        <v>8500</v>
      </c>
    </row>
    <row r="27" spans="1:11" ht="20.100000000000001" hidden="1" customHeight="1" x14ac:dyDescent="0.2">
      <c r="A27" s="187"/>
      <c r="B27" s="187"/>
      <c r="C27" s="205"/>
      <c r="D27" s="205"/>
      <c r="E27" s="205"/>
      <c r="F27" s="205">
        <v>312130</v>
      </c>
      <c r="G27" s="188" t="s">
        <v>88</v>
      </c>
      <c r="H27" s="191">
        <v>8500</v>
      </c>
      <c r="I27" s="191">
        <f>J27-H27</f>
        <v>0</v>
      </c>
      <c r="J27" s="191">
        <v>8500</v>
      </c>
    </row>
    <row r="28" spans="1:11" ht="20.100000000000001" hidden="1" customHeight="1" x14ac:dyDescent="0.2">
      <c r="A28" s="83"/>
      <c r="B28" s="83"/>
      <c r="C28" s="204"/>
      <c r="D28" s="204"/>
      <c r="E28" s="204">
        <v>31214</v>
      </c>
      <c r="F28" s="204"/>
      <c r="G28" s="84" t="s">
        <v>91</v>
      </c>
      <c r="H28" s="90">
        <f>H29</f>
        <v>5000</v>
      </c>
      <c r="I28" s="90">
        <f>I29</f>
        <v>-570</v>
      </c>
      <c r="J28" s="90">
        <f>J29</f>
        <v>4430</v>
      </c>
    </row>
    <row r="29" spans="1:11" ht="20.100000000000001" hidden="1" customHeight="1" x14ac:dyDescent="0.2">
      <c r="A29" s="187"/>
      <c r="B29" s="187"/>
      <c r="C29" s="205"/>
      <c r="D29" s="205"/>
      <c r="E29" s="205"/>
      <c r="F29" s="205">
        <v>312140</v>
      </c>
      <c r="G29" s="188" t="s">
        <v>91</v>
      </c>
      <c r="H29" s="191">
        <v>5000</v>
      </c>
      <c r="I29" s="191">
        <f>J29-H29</f>
        <v>-570</v>
      </c>
      <c r="J29" s="191">
        <v>4430</v>
      </c>
    </row>
    <row r="30" spans="1:11" ht="20.100000000000001" hidden="1" customHeight="1" x14ac:dyDescent="0.2">
      <c r="A30" s="83"/>
      <c r="B30" s="83"/>
      <c r="C30" s="204"/>
      <c r="D30" s="204"/>
      <c r="E30" s="204">
        <v>31215</v>
      </c>
      <c r="F30" s="204"/>
      <c r="G30" s="84" t="s">
        <v>94</v>
      </c>
      <c r="H30" s="90">
        <f>H31</f>
        <v>3800</v>
      </c>
      <c r="I30" s="90">
        <f>I31</f>
        <v>0</v>
      </c>
      <c r="J30" s="90">
        <f>J31</f>
        <v>3800</v>
      </c>
    </row>
    <row r="31" spans="1:11" ht="29.25" hidden="1" customHeight="1" x14ac:dyDescent="0.2">
      <c r="A31" s="187"/>
      <c r="B31" s="187"/>
      <c r="C31" s="205"/>
      <c r="D31" s="205"/>
      <c r="E31" s="205"/>
      <c r="F31" s="205">
        <v>312150</v>
      </c>
      <c r="G31" s="188" t="s">
        <v>94</v>
      </c>
      <c r="H31" s="191">
        <f>3300+500</f>
        <v>3800</v>
      </c>
      <c r="I31" s="191">
        <f>J31-H31</f>
        <v>0</v>
      </c>
      <c r="J31" s="191">
        <f>3300+500</f>
        <v>3800</v>
      </c>
    </row>
    <row r="32" spans="1:11" ht="20.100000000000001" hidden="1" customHeight="1" x14ac:dyDescent="0.2">
      <c r="A32" s="83"/>
      <c r="B32" s="83"/>
      <c r="C32" s="204"/>
      <c r="D32" s="204"/>
      <c r="E32" s="204">
        <v>31216</v>
      </c>
      <c r="F32" s="204"/>
      <c r="G32" s="84" t="s">
        <v>298</v>
      </c>
      <c r="H32" s="90">
        <f>H33</f>
        <v>20300</v>
      </c>
      <c r="I32" s="90">
        <f>I33</f>
        <v>0</v>
      </c>
      <c r="J32" s="90">
        <f>J33</f>
        <v>20300</v>
      </c>
    </row>
    <row r="33" spans="1:10" ht="20.100000000000001" hidden="1" customHeight="1" x14ac:dyDescent="0.2">
      <c r="A33" s="187"/>
      <c r="B33" s="187"/>
      <c r="C33" s="205"/>
      <c r="D33" s="205"/>
      <c r="E33" s="205"/>
      <c r="F33" s="205">
        <v>312160</v>
      </c>
      <c r="G33" s="188" t="s">
        <v>298</v>
      </c>
      <c r="H33" s="191">
        <f>20800-500</f>
        <v>20300</v>
      </c>
      <c r="I33" s="191">
        <f>J33-H33</f>
        <v>0</v>
      </c>
      <c r="J33" s="191">
        <f>20800-500</f>
        <v>20300</v>
      </c>
    </row>
    <row r="34" spans="1:10" ht="20.100000000000001" hidden="1" customHeight="1" x14ac:dyDescent="0.2">
      <c r="A34" s="83"/>
      <c r="B34" s="83"/>
      <c r="C34" s="204"/>
      <c r="D34" s="204"/>
      <c r="E34" s="204">
        <v>31219</v>
      </c>
      <c r="F34" s="204"/>
      <c r="G34" s="84" t="s">
        <v>97</v>
      </c>
      <c r="H34" s="90">
        <f>H35</f>
        <v>22942</v>
      </c>
      <c r="I34" s="90">
        <f>I35</f>
        <v>0</v>
      </c>
      <c r="J34" s="90">
        <f>J35</f>
        <v>22942</v>
      </c>
    </row>
    <row r="35" spans="1:10" ht="25.5" hidden="1" x14ac:dyDescent="0.2">
      <c r="A35" s="187"/>
      <c r="B35" s="187"/>
      <c r="C35" s="205"/>
      <c r="D35" s="205"/>
      <c r="E35" s="205"/>
      <c r="F35" s="205">
        <v>312190</v>
      </c>
      <c r="G35" s="188" t="s">
        <v>99</v>
      </c>
      <c r="H35" s="191">
        <f>23442-500</f>
        <v>22942</v>
      </c>
      <c r="I35" s="191">
        <f>J35-H35</f>
        <v>0</v>
      </c>
      <c r="J35" s="191">
        <f>23442-500</f>
        <v>22942</v>
      </c>
    </row>
    <row r="36" spans="1:10" s="75" customFormat="1" ht="20.100000000000001" hidden="1" customHeight="1" x14ac:dyDescent="0.2">
      <c r="A36" s="146"/>
      <c r="B36" s="77"/>
      <c r="C36" s="87">
        <v>313</v>
      </c>
      <c r="D36" s="87"/>
      <c r="E36" s="87"/>
      <c r="F36" s="87"/>
      <c r="G36" s="198" t="s">
        <v>19</v>
      </c>
      <c r="H36" s="89">
        <f>H37+H44</f>
        <v>248284.38</v>
      </c>
      <c r="I36" s="89">
        <f>I37+I44</f>
        <v>9770.6199999999953</v>
      </c>
      <c r="J36" s="89">
        <f>J37+J44</f>
        <v>258055</v>
      </c>
    </row>
    <row r="37" spans="1:10" ht="20.100000000000001" hidden="1" customHeight="1" x14ac:dyDescent="0.2">
      <c r="A37" s="78"/>
      <c r="B37" s="78"/>
      <c r="C37" s="85"/>
      <c r="D37" s="85">
        <v>3132</v>
      </c>
      <c r="E37" s="85"/>
      <c r="F37" s="85"/>
      <c r="G37" s="94" t="s">
        <v>20</v>
      </c>
      <c r="H37" s="90">
        <f>H38+H41</f>
        <v>248284.38</v>
      </c>
      <c r="I37" s="90">
        <f>I38+I41</f>
        <v>9770.6199999999953</v>
      </c>
      <c r="J37" s="90">
        <f>J38+J41</f>
        <v>258055</v>
      </c>
    </row>
    <row r="38" spans="1:10" ht="20.100000000000001" hidden="1" customHeight="1" x14ac:dyDescent="0.2">
      <c r="A38" s="78"/>
      <c r="B38" s="78"/>
      <c r="C38" s="85"/>
      <c r="D38" s="85"/>
      <c r="E38" s="85">
        <v>31321</v>
      </c>
      <c r="F38" s="85"/>
      <c r="G38" s="94" t="s">
        <v>20</v>
      </c>
      <c r="H38" s="90">
        <f>H39+H40</f>
        <v>248284.38</v>
      </c>
      <c r="I38" s="90">
        <f>I39+I40</f>
        <v>9770.6199999999953</v>
      </c>
      <c r="J38" s="90">
        <f>J39+J40</f>
        <v>258055</v>
      </c>
    </row>
    <row r="39" spans="1:10" ht="20.100000000000001" hidden="1" customHeight="1" x14ac:dyDescent="0.2">
      <c r="A39" s="186"/>
      <c r="B39" s="186"/>
      <c r="C39" s="189"/>
      <c r="D39" s="189"/>
      <c r="E39" s="189"/>
      <c r="F39" s="189">
        <v>313210</v>
      </c>
      <c r="G39" s="190" t="s">
        <v>462</v>
      </c>
      <c r="H39" s="191">
        <f>226584+0.38+6400+11000-1000</f>
        <v>242984.38</v>
      </c>
      <c r="I39" s="191">
        <f>J39-H39</f>
        <v>9770.6199999999953</v>
      </c>
      <c r="J39" s="191">
        <f>256255-2000-500-1000</f>
        <v>252755</v>
      </c>
    </row>
    <row r="40" spans="1:10" ht="25.5" hidden="1" x14ac:dyDescent="0.2">
      <c r="A40" s="186"/>
      <c r="B40" s="186"/>
      <c r="C40" s="189"/>
      <c r="D40" s="189"/>
      <c r="E40" s="189"/>
      <c r="F40" s="189">
        <v>313210</v>
      </c>
      <c r="G40" s="188" t="s">
        <v>461</v>
      </c>
      <c r="H40" s="191">
        <v>5300</v>
      </c>
      <c r="I40" s="191">
        <f>J40-H40</f>
        <v>0</v>
      </c>
      <c r="J40" s="191">
        <v>5300</v>
      </c>
    </row>
    <row r="41" spans="1:10" ht="25.5" hidden="1" x14ac:dyDescent="0.2">
      <c r="A41" s="78"/>
      <c r="B41" s="78"/>
      <c r="C41" s="85"/>
      <c r="D41" s="85"/>
      <c r="E41" s="85">
        <v>31322</v>
      </c>
      <c r="F41" s="85"/>
      <c r="G41" s="84" t="s">
        <v>101</v>
      </c>
      <c r="H41" s="90">
        <f t="shared" ref="H41" si="4">H42+H43</f>
        <v>0</v>
      </c>
      <c r="I41" s="90">
        <f t="shared" ref="I41:J41" si="5">I42+I43</f>
        <v>0</v>
      </c>
      <c r="J41" s="90">
        <f t="shared" si="5"/>
        <v>0</v>
      </c>
    </row>
    <row r="42" spans="1:10" ht="25.5" hidden="1" x14ac:dyDescent="0.2">
      <c r="A42" s="186"/>
      <c r="B42" s="186"/>
      <c r="C42" s="189"/>
      <c r="D42" s="189"/>
      <c r="E42" s="189"/>
      <c r="F42" s="85">
        <v>313220</v>
      </c>
      <c r="G42" s="84" t="s">
        <v>101</v>
      </c>
      <c r="H42" s="191">
        <v>0</v>
      </c>
      <c r="I42" s="191">
        <f>J42-H42</f>
        <v>0</v>
      </c>
      <c r="J42" s="191">
        <v>0</v>
      </c>
    </row>
    <row r="43" spans="1:10" ht="39.950000000000003" hidden="1" customHeight="1" x14ac:dyDescent="0.2">
      <c r="A43" s="186"/>
      <c r="B43" s="186"/>
      <c r="C43" s="189"/>
      <c r="D43" s="189"/>
      <c r="E43" s="189"/>
      <c r="F43" s="85">
        <v>313220</v>
      </c>
      <c r="G43" s="84" t="s">
        <v>451</v>
      </c>
      <c r="H43" s="191">
        <v>0</v>
      </c>
      <c r="I43" s="191">
        <f>J43-H43</f>
        <v>0</v>
      </c>
      <c r="J43" s="191">
        <v>0</v>
      </c>
    </row>
    <row r="44" spans="1:10" ht="27.75" hidden="1" customHeight="1" x14ac:dyDescent="0.2">
      <c r="A44" s="85"/>
      <c r="B44" s="85"/>
      <c r="C44" s="85"/>
      <c r="D44" s="85">
        <v>3133</v>
      </c>
      <c r="E44" s="85"/>
      <c r="F44" s="85"/>
      <c r="G44" s="86" t="s">
        <v>21</v>
      </c>
      <c r="H44" s="90">
        <f t="shared" ref="H44:J44" si="6">H45</f>
        <v>0</v>
      </c>
      <c r="I44" s="90">
        <f t="shared" si="6"/>
        <v>0</v>
      </c>
      <c r="J44" s="90">
        <f t="shared" si="6"/>
        <v>0</v>
      </c>
    </row>
    <row r="45" spans="1:10" ht="27.75" hidden="1" customHeight="1" x14ac:dyDescent="0.2">
      <c r="A45" s="85"/>
      <c r="B45" s="85"/>
      <c r="C45" s="85"/>
      <c r="D45" s="85"/>
      <c r="E45" s="85">
        <v>31332</v>
      </c>
      <c r="F45" s="85"/>
      <c r="G45" s="86" t="s">
        <v>21</v>
      </c>
      <c r="H45" s="90">
        <f t="shared" ref="H45" si="7">H46+H47</f>
        <v>0</v>
      </c>
      <c r="I45" s="90">
        <f t="shared" ref="I45:J45" si="8">I46+I47</f>
        <v>0</v>
      </c>
      <c r="J45" s="90">
        <f t="shared" si="8"/>
        <v>0</v>
      </c>
    </row>
    <row r="46" spans="1:10" ht="27.75" hidden="1" customHeight="1" x14ac:dyDescent="0.2">
      <c r="A46" s="189"/>
      <c r="B46" s="189"/>
      <c r="C46" s="189"/>
      <c r="D46" s="189"/>
      <c r="E46" s="189"/>
      <c r="F46" s="85">
        <v>313320</v>
      </c>
      <c r="G46" s="86" t="s">
        <v>21</v>
      </c>
      <c r="H46" s="191">
        <v>0</v>
      </c>
      <c r="I46" s="191">
        <f>J46-H46</f>
        <v>0</v>
      </c>
      <c r="J46" s="191">
        <v>0</v>
      </c>
    </row>
    <row r="47" spans="1:10" ht="27.75" hidden="1" customHeight="1" x14ac:dyDescent="0.2">
      <c r="A47" s="189"/>
      <c r="B47" s="189"/>
      <c r="C47" s="189"/>
      <c r="D47" s="189"/>
      <c r="E47" s="189"/>
      <c r="F47" s="85">
        <v>313320</v>
      </c>
      <c r="G47" s="86" t="s">
        <v>452</v>
      </c>
      <c r="H47" s="191">
        <v>0</v>
      </c>
      <c r="I47" s="191">
        <f>J47-H47</f>
        <v>0</v>
      </c>
      <c r="J47" s="191">
        <v>0</v>
      </c>
    </row>
    <row r="48" spans="1:10" ht="20.100000000000001" customHeight="1" x14ac:dyDescent="0.2">
      <c r="A48" s="87"/>
      <c r="B48" s="87">
        <v>32</v>
      </c>
      <c r="C48" s="85"/>
      <c r="D48" s="85"/>
      <c r="E48" s="85"/>
      <c r="F48" s="85"/>
      <c r="G48" s="88" t="s">
        <v>22</v>
      </c>
      <c r="H48" s="89">
        <f>H49+H72+H109+H173+H177</f>
        <v>1165013.6000000001</v>
      </c>
      <c r="I48" s="89">
        <f>I49+I72+I109+I173+I177</f>
        <v>67859.520000000019</v>
      </c>
      <c r="J48" s="89">
        <f>J49+J72+J109+J173+J177</f>
        <v>1232873.1200000001</v>
      </c>
    </row>
    <row r="49" spans="1:10" s="75" customFormat="1" ht="20.100000000000001" hidden="1" customHeight="1" x14ac:dyDescent="0.2">
      <c r="A49" s="147"/>
      <c r="B49" s="87"/>
      <c r="C49" s="87">
        <v>321</v>
      </c>
      <c r="D49" s="87"/>
      <c r="E49" s="87"/>
      <c r="F49" s="87"/>
      <c r="G49" s="82" t="s">
        <v>23</v>
      </c>
      <c r="H49" s="89">
        <f>H50+H59+H66</f>
        <v>81273.61</v>
      </c>
      <c r="I49" s="89">
        <f>I50+I59+I66</f>
        <v>1749.4900000000002</v>
      </c>
      <c r="J49" s="89">
        <f>J50+J59+J66</f>
        <v>83023.100000000006</v>
      </c>
    </row>
    <row r="50" spans="1:10" ht="20.100000000000001" hidden="1" customHeight="1" x14ac:dyDescent="0.2">
      <c r="A50" s="85"/>
      <c r="B50" s="85"/>
      <c r="C50" s="85"/>
      <c r="D50" s="85">
        <v>3211</v>
      </c>
      <c r="E50" s="85"/>
      <c r="F50" s="85"/>
      <c r="G50" s="84" t="s">
        <v>24</v>
      </c>
      <c r="H50" s="90">
        <f>H51+H53+H55+H57</f>
        <v>11014.08</v>
      </c>
      <c r="I50" s="90">
        <f>I51+I53+I55+I57</f>
        <v>867.49000000000024</v>
      </c>
      <c r="J50" s="90">
        <f>J51+J53+J55+J57</f>
        <v>11881.57</v>
      </c>
    </row>
    <row r="51" spans="1:10" ht="20.100000000000001" hidden="1" customHeight="1" x14ac:dyDescent="0.2">
      <c r="A51" s="85"/>
      <c r="B51" s="85"/>
      <c r="C51" s="85"/>
      <c r="D51" s="85"/>
      <c r="E51" s="85">
        <v>32111</v>
      </c>
      <c r="F51" s="85"/>
      <c r="G51" s="84" t="s">
        <v>102</v>
      </c>
      <c r="H51" s="90">
        <f>H52</f>
        <v>3045</v>
      </c>
      <c r="I51" s="90">
        <f>I52</f>
        <v>517.48</v>
      </c>
      <c r="J51" s="90">
        <f>J52</f>
        <v>3562.48</v>
      </c>
    </row>
    <row r="52" spans="1:10" ht="20.100000000000001" hidden="1" customHeight="1" x14ac:dyDescent="0.2">
      <c r="A52" s="189"/>
      <c r="B52" s="189"/>
      <c r="C52" s="189"/>
      <c r="D52" s="189"/>
      <c r="E52" s="189"/>
      <c r="F52" s="189">
        <v>321110</v>
      </c>
      <c r="G52" s="188" t="s">
        <v>102</v>
      </c>
      <c r="H52" s="191">
        <f>2345+700</f>
        <v>3045</v>
      </c>
      <c r="I52" s="191">
        <f>J52-H52</f>
        <v>517.48</v>
      </c>
      <c r="J52" s="191">
        <f>3062.48+500</f>
        <v>3562.48</v>
      </c>
    </row>
    <row r="53" spans="1:10" ht="20.100000000000001" hidden="1" customHeight="1" x14ac:dyDescent="0.2">
      <c r="A53" s="85"/>
      <c r="B53" s="85"/>
      <c r="C53" s="85"/>
      <c r="D53" s="85"/>
      <c r="E53" s="85">
        <v>32113</v>
      </c>
      <c r="F53" s="85"/>
      <c r="G53" s="84" t="s">
        <v>103</v>
      </c>
      <c r="H53" s="90">
        <f>H54</f>
        <v>6629.08</v>
      </c>
      <c r="I53" s="90">
        <f>I54</f>
        <v>350.01000000000022</v>
      </c>
      <c r="J53" s="90">
        <f>J54</f>
        <v>6979.09</v>
      </c>
    </row>
    <row r="54" spans="1:10" ht="20.100000000000001" hidden="1" customHeight="1" x14ac:dyDescent="0.2">
      <c r="A54" s="189"/>
      <c r="B54" s="189"/>
      <c r="C54" s="189"/>
      <c r="D54" s="189"/>
      <c r="E54" s="189"/>
      <c r="F54" s="189">
        <v>321130</v>
      </c>
      <c r="G54" s="188" t="s">
        <v>103</v>
      </c>
      <c r="H54" s="191">
        <f>5329+0.08+1300</f>
        <v>6629.08</v>
      </c>
      <c r="I54" s="191">
        <f>J54-H54</f>
        <v>350.01000000000022</v>
      </c>
      <c r="J54" s="191">
        <v>6979.09</v>
      </c>
    </row>
    <row r="55" spans="1:10" ht="20.100000000000001" hidden="1" customHeight="1" x14ac:dyDescent="0.2">
      <c r="A55" s="85"/>
      <c r="B55" s="85"/>
      <c r="C55" s="85"/>
      <c r="D55" s="85"/>
      <c r="E55" s="85">
        <v>32115</v>
      </c>
      <c r="F55" s="85"/>
      <c r="G55" s="84" t="s">
        <v>104</v>
      </c>
      <c r="H55" s="90">
        <f>H56</f>
        <v>840</v>
      </c>
      <c r="I55" s="90">
        <f>I56</f>
        <v>0</v>
      </c>
      <c r="J55" s="90">
        <f>J56</f>
        <v>840</v>
      </c>
    </row>
    <row r="56" spans="1:10" ht="20.100000000000001" hidden="1" customHeight="1" x14ac:dyDescent="0.2">
      <c r="A56" s="189"/>
      <c r="B56" s="189"/>
      <c r="C56" s="189"/>
      <c r="D56" s="189"/>
      <c r="E56" s="189"/>
      <c r="F56" s="189">
        <v>321150</v>
      </c>
      <c r="G56" s="188" t="s">
        <v>104</v>
      </c>
      <c r="H56" s="191">
        <v>840</v>
      </c>
      <c r="I56" s="191">
        <f>J56-H56</f>
        <v>0</v>
      </c>
      <c r="J56" s="191">
        <v>840</v>
      </c>
    </row>
    <row r="57" spans="1:10" ht="20.100000000000001" hidden="1" customHeight="1" x14ac:dyDescent="0.2">
      <c r="A57" s="85"/>
      <c r="B57" s="85"/>
      <c r="C57" s="85"/>
      <c r="D57" s="85"/>
      <c r="E57" s="85">
        <v>32119</v>
      </c>
      <c r="F57" s="85"/>
      <c r="G57" s="84" t="s">
        <v>105</v>
      </c>
      <c r="H57" s="90">
        <f>H58</f>
        <v>500</v>
      </c>
      <c r="I57" s="90">
        <f>I58</f>
        <v>0</v>
      </c>
      <c r="J57" s="90">
        <f>J58</f>
        <v>500</v>
      </c>
    </row>
    <row r="58" spans="1:10" ht="20.100000000000001" hidden="1" customHeight="1" x14ac:dyDescent="0.2">
      <c r="A58" s="189"/>
      <c r="B58" s="189"/>
      <c r="C58" s="189"/>
      <c r="D58" s="189"/>
      <c r="E58" s="189"/>
      <c r="F58" s="189">
        <v>321190</v>
      </c>
      <c r="G58" s="188" t="s">
        <v>105</v>
      </c>
      <c r="H58" s="191">
        <v>500</v>
      </c>
      <c r="I58" s="191">
        <f>J58-H58</f>
        <v>0</v>
      </c>
      <c r="J58" s="191">
        <v>500</v>
      </c>
    </row>
    <row r="59" spans="1:10" ht="27.75" hidden="1" customHeight="1" x14ac:dyDescent="0.2">
      <c r="A59" s="85"/>
      <c r="B59" s="85"/>
      <c r="C59" s="85"/>
      <c r="D59" s="85">
        <v>3212</v>
      </c>
      <c r="E59" s="85"/>
      <c r="F59" s="85"/>
      <c r="G59" s="84" t="s">
        <v>25</v>
      </c>
      <c r="H59" s="90">
        <f>H60+H64</f>
        <v>55694.53</v>
      </c>
      <c r="I59" s="90">
        <f>I60+I64</f>
        <v>117</v>
      </c>
      <c r="J59" s="90">
        <f>J60+J64</f>
        <v>55811.53</v>
      </c>
    </row>
    <row r="60" spans="1:10" ht="27.75" hidden="1" customHeight="1" x14ac:dyDescent="0.2">
      <c r="A60" s="85"/>
      <c r="B60" s="85"/>
      <c r="C60" s="85"/>
      <c r="D60" s="85"/>
      <c r="E60" s="85">
        <v>32121</v>
      </c>
      <c r="F60" s="85"/>
      <c r="G60" s="84" t="s">
        <v>106</v>
      </c>
      <c r="H60" s="90">
        <f t="shared" ref="H60" si="9">H61+H62+H63</f>
        <v>43794.53</v>
      </c>
      <c r="I60" s="90">
        <f t="shared" ref="I60:J60" si="10">I61+I62+I63</f>
        <v>117</v>
      </c>
      <c r="J60" s="90">
        <f t="shared" si="10"/>
        <v>43911.53</v>
      </c>
    </row>
    <row r="61" spans="1:10" ht="27.75" hidden="1" customHeight="1" x14ac:dyDescent="0.2">
      <c r="A61" s="189"/>
      <c r="B61" s="189"/>
      <c r="C61" s="189"/>
      <c r="D61" s="189"/>
      <c r="E61" s="189"/>
      <c r="F61" s="189">
        <v>321210</v>
      </c>
      <c r="G61" s="188" t="s">
        <v>106</v>
      </c>
      <c r="H61" s="191">
        <f>37195-0.47+2600+4000</f>
        <v>43794.53</v>
      </c>
      <c r="I61" s="191">
        <f>J61-H61</f>
        <v>117</v>
      </c>
      <c r="J61" s="191">
        <f>45911.53-2000</f>
        <v>43911.53</v>
      </c>
    </row>
    <row r="62" spans="1:10" ht="27.75" hidden="1" customHeight="1" x14ac:dyDescent="0.2">
      <c r="A62" s="189"/>
      <c r="B62" s="189"/>
      <c r="C62" s="189"/>
      <c r="D62" s="189"/>
      <c r="E62" s="189"/>
      <c r="F62" s="188">
        <v>321210</v>
      </c>
      <c r="G62" s="188" t="s">
        <v>106</v>
      </c>
      <c r="H62" s="191">
        <v>0</v>
      </c>
      <c r="I62" s="191">
        <f>J62-H62</f>
        <v>0</v>
      </c>
      <c r="J62" s="191">
        <v>0</v>
      </c>
    </row>
    <row r="63" spans="1:10" ht="27.75" hidden="1" customHeight="1" x14ac:dyDescent="0.2">
      <c r="A63" s="189"/>
      <c r="B63" s="189"/>
      <c r="C63" s="189"/>
      <c r="D63" s="189"/>
      <c r="E63" s="189"/>
      <c r="F63" s="258">
        <v>321210</v>
      </c>
      <c r="G63" s="86" t="s">
        <v>106</v>
      </c>
      <c r="H63" s="191">
        <v>0</v>
      </c>
      <c r="I63" s="191">
        <f>J63-H63</f>
        <v>0</v>
      </c>
      <c r="J63" s="191">
        <v>0</v>
      </c>
    </row>
    <row r="64" spans="1:10" s="91" customFormat="1" ht="27.75" hidden="1" customHeight="1" x14ac:dyDescent="0.2">
      <c r="A64" s="85"/>
      <c r="B64" s="85"/>
      <c r="C64" s="85"/>
      <c r="D64" s="85"/>
      <c r="E64" s="85">
        <v>32123</v>
      </c>
      <c r="F64" s="85"/>
      <c r="G64" s="84" t="s">
        <v>317</v>
      </c>
      <c r="H64" s="90">
        <f>H65</f>
        <v>11900</v>
      </c>
      <c r="I64" s="90">
        <f>I65</f>
        <v>0</v>
      </c>
      <c r="J64" s="90">
        <f>J65</f>
        <v>11900</v>
      </c>
    </row>
    <row r="65" spans="1:11" ht="27.75" hidden="1" customHeight="1" x14ac:dyDescent="0.2">
      <c r="A65" s="189"/>
      <c r="B65" s="189"/>
      <c r="C65" s="189"/>
      <c r="D65" s="189"/>
      <c r="E65" s="189"/>
      <c r="F65" s="189">
        <v>321230</v>
      </c>
      <c r="G65" s="188" t="s">
        <v>317</v>
      </c>
      <c r="H65" s="191">
        <f>3400+8500</f>
        <v>11900</v>
      </c>
      <c r="I65" s="191">
        <f>J65-H65</f>
        <v>0</v>
      </c>
      <c r="J65" s="191">
        <f>3400+8500</f>
        <v>11900</v>
      </c>
    </row>
    <row r="66" spans="1:11" ht="20.100000000000001" hidden="1" customHeight="1" x14ac:dyDescent="0.2">
      <c r="A66" s="85"/>
      <c r="B66" s="85"/>
      <c r="C66" s="85"/>
      <c r="D66" s="85">
        <v>3213</v>
      </c>
      <c r="E66" s="85"/>
      <c r="F66" s="85"/>
      <c r="G66" s="84" t="s">
        <v>26</v>
      </c>
      <c r="H66" s="90">
        <f>H67+H70</f>
        <v>14565</v>
      </c>
      <c r="I66" s="90">
        <f>I67+I70</f>
        <v>765</v>
      </c>
      <c r="J66" s="90">
        <f>J67+J70</f>
        <v>15330</v>
      </c>
    </row>
    <row r="67" spans="1:11" ht="20.100000000000001" hidden="1" customHeight="1" x14ac:dyDescent="0.2">
      <c r="A67" s="85"/>
      <c r="B67" s="85"/>
      <c r="C67" s="85"/>
      <c r="D67" s="85"/>
      <c r="E67" s="92">
        <v>32131</v>
      </c>
      <c r="F67" s="85"/>
      <c r="G67" s="84" t="s">
        <v>109</v>
      </c>
      <c r="H67" s="90">
        <f>H69+H68</f>
        <v>13265</v>
      </c>
      <c r="I67" s="90">
        <f>I69+I68</f>
        <v>765</v>
      </c>
      <c r="J67" s="90">
        <f>J69+J68</f>
        <v>14030</v>
      </c>
    </row>
    <row r="68" spans="1:11" ht="20.100000000000001" hidden="1" customHeight="1" x14ac:dyDescent="0.2">
      <c r="A68" s="189"/>
      <c r="B68" s="189"/>
      <c r="C68" s="189"/>
      <c r="D68" s="189"/>
      <c r="E68" s="189"/>
      <c r="F68" s="189">
        <v>321310</v>
      </c>
      <c r="G68" s="188" t="s">
        <v>319</v>
      </c>
      <c r="H68" s="191">
        <f>8265+5000</f>
        <v>13265</v>
      </c>
      <c r="I68" s="191">
        <f t="shared" ref="I68:I69" si="11">J68-H68</f>
        <v>765</v>
      </c>
      <c r="J68" s="191">
        <v>14030</v>
      </c>
    </row>
    <row r="69" spans="1:11" ht="20.100000000000001" hidden="1" customHeight="1" x14ac:dyDescent="0.2">
      <c r="A69" s="189"/>
      <c r="B69" s="189"/>
      <c r="C69" s="189"/>
      <c r="D69" s="189"/>
      <c r="E69" s="189"/>
      <c r="F69" s="189">
        <v>321311</v>
      </c>
      <c r="G69" s="188" t="s">
        <v>320</v>
      </c>
      <c r="H69" s="191">
        <v>0</v>
      </c>
      <c r="I69" s="191">
        <f t="shared" si="11"/>
        <v>0</v>
      </c>
      <c r="J69" s="191">
        <v>0</v>
      </c>
    </row>
    <row r="70" spans="1:11" ht="20.100000000000001" hidden="1" customHeight="1" x14ac:dyDescent="0.2">
      <c r="A70" s="85"/>
      <c r="B70" s="85"/>
      <c r="C70" s="85"/>
      <c r="D70" s="85"/>
      <c r="E70" s="85">
        <v>32132</v>
      </c>
      <c r="F70" s="85"/>
      <c r="G70" s="84" t="s">
        <v>115</v>
      </c>
      <c r="H70" s="90">
        <f>H71</f>
        <v>1300</v>
      </c>
      <c r="I70" s="90">
        <f>I71</f>
        <v>0</v>
      </c>
      <c r="J70" s="90">
        <f>J71</f>
        <v>1300</v>
      </c>
    </row>
    <row r="71" spans="1:11" ht="20.100000000000001" hidden="1" customHeight="1" x14ac:dyDescent="0.2">
      <c r="A71" s="189"/>
      <c r="B71" s="189"/>
      <c r="C71" s="189"/>
      <c r="D71" s="189"/>
      <c r="E71" s="189"/>
      <c r="F71" s="189">
        <v>321320</v>
      </c>
      <c r="G71" s="188" t="s">
        <v>115</v>
      </c>
      <c r="H71" s="191">
        <v>1300</v>
      </c>
      <c r="I71" s="191">
        <f>J71-H71</f>
        <v>0</v>
      </c>
      <c r="J71" s="191">
        <v>1300</v>
      </c>
    </row>
    <row r="72" spans="1:11" s="75" customFormat="1" ht="20.100000000000001" hidden="1" customHeight="1" x14ac:dyDescent="0.2">
      <c r="A72" s="147"/>
      <c r="B72" s="87"/>
      <c r="C72" s="87">
        <v>322</v>
      </c>
      <c r="D72" s="87"/>
      <c r="E72" s="87"/>
      <c r="F72" s="87"/>
      <c r="G72" s="160" t="s">
        <v>27</v>
      </c>
      <c r="H72" s="89">
        <f>H73+H85+H90+H98+H101+H106</f>
        <v>589546.47</v>
      </c>
      <c r="I72" s="89">
        <f>I73+I85+I90+I98+I101+I106</f>
        <v>71761.740000000005</v>
      </c>
      <c r="J72" s="89">
        <f>J73+J85+J90+J98+J101+J106</f>
        <v>661308.21</v>
      </c>
      <c r="K72" s="79"/>
    </row>
    <row r="73" spans="1:11" ht="27" hidden="1" customHeight="1" x14ac:dyDescent="0.2">
      <c r="A73" s="85"/>
      <c r="B73" s="85"/>
      <c r="C73" s="85"/>
      <c r="D73" s="85">
        <v>3221</v>
      </c>
      <c r="E73" s="85"/>
      <c r="F73" s="85"/>
      <c r="G73" s="86" t="s">
        <v>28</v>
      </c>
      <c r="H73" s="90">
        <f>H74+H77+H79+H81+H83</f>
        <v>26149.98</v>
      </c>
      <c r="I73" s="90">
        <f>I74+I77+I79+I81+I83</f>
        <v>2295.2400000000002</v>
      </c>
      <c r="J73" s="90">
        <f>J74+J77+J79+J81+J83</f>
        <v>28445.22</v>
      </c>
    </row>
    <row r="74" spans="1:11" ht="20.100000000000001" hidden="1" customHeight="1" x14ac:dyDescent="0.2">
      <c r="A74" s="85"/>
      <c r="B74" s="85"/>
      <c r="C74" s="85"/>
      <c r="D74" s="85"/>
      <c r="E74" s="85">
        <v>32211</v>
      </c>
      <c r="F74" s="85"/>
      <c r="G74" s="86" t="s">
        <v>375</v>
      </c>
      <c r="H74" s="90">
        <f>H75+H76</f>
        <v>11110.9</v>
      </c>
      <c r="I74" s="90">
        <f>I75+I76</f>
        <v>2295.2400000000002</v>
      </c>
      <c r="J74" s="90">
        <f>J75+J76</f>
        <v>13406.14</v>
      </c>
    </row>
    <row r="75" spans="1:11" ht="20.100000000000001" hidden="1" customHeight="1" x14ac:dyDescent="0.2">
      <c r="A75" s="189"/>
      <c r="B75" s="189"/>
      <c r="C75" s="189"/>
      <c r="D75" s="189"/>
      <c r="E75" s="189"/>
      <c r="F75" s="189">
        <v>322110</v>
      </c>
      <c r="G75" s="262" t="s">
        <v>375</v>
      </c>
      <c r="H75" s="191">
        <f>7018+0.18+500</f>
        <v>7518.18</v>
      </c>
      <c r="I75" s="191">
        <f t="shared" ref="I75:I76" si="12">J75-H75</f>
        <v>1545.83</v>
      </c>
      <c r="J75" s="191">
        <f>8018.18+1045.83</f>
        <v>9064.01</v>
      </c>
    </row>
    <row r="76" spans="1:11" ht="20.100000000000001" hidden="1" customHeight="1" x14ac:dyDescent="0.2">
      <c r="A76" s="189"/>
      <c r="B76" s="189"/>
      <c r="C76" s="189"/>
      <c r="D76" s="189"/>
      <c r="E76" s="189"/>
      <c r="F76" s="189">
        <v>322111</v>
      </c>
      <c r="G76" s="262" t="s">
        <v>321</v>
      </c>
      <c r="H76" s="191">
        <f>2593-0.28+1000</f>
        <v>3592.72</v>
      </c>
      <c r="I76" s="191">
        <f t="shared" si="12"/>
        <v>749.41000000000031</v>
      </c>
      <c r="J76" s="191">
        <f>4092.72+249.41</f>
        <v>4342.13</v>
      </c>
    </row>
    <row r="77" spans="1:11" ht="25.5" hidden="1" x14ac:dyDescent="0.2">
      <c r="A77" s="85"/>
      <c r="B77" s="85"/>
      <c r="C77" s="85"/>
      <c r="D77" s="85"/>
      <c r="E77" s="85">
        <v>32212</v>
      </c>
      <c r="F77" s="85"/>
      <c r="G77" s="86" t="s">
        <v>124</v>
      </c>
      <c r="H77" s="90">
        <f>H78</f>
        <v>1530</v>
      </c>
      <c r="I77" s="90">
        <f>I78</f>
        <v>0</v>
      </c>
      <c r="J77" s="90">
        <f>J78</f>
        <v>1530</v>
      </c>
    </row>
    <row r="78" spans="1:11" ht="25.5" hidden="1" x14ac:dyDescent="0.2">
      <c r="A78" s="189"/>
      <c r="B78" s="189"/>
      <c r="C78" s="189"/>
      <c r="D78" s="189"/>
      <c r="E78" s="189"/>
      <c r="F78" s="189">
        <v>322120</v>
      </c>
      <c r="G78" s="262" t="s">
        <v>124</v>
      </c>
      <c r="H78" s="191">
        <v>1530</v>
      </c>
      <c r="I78" s="191">
        <f>J78-H78</f>
        <v>0</v>
      </c>
      <c r="J78" s="191">
        <v>1530</v>
      </c>
    </row>
    <row r="79" spans="1:11" ht="32.25" hidden="1" customHeight="1" x14ac:dyDescent="0.2">
      <c r="A79" s="85"/>
      <c r="B79" s="85"/>
      <c r="C79" s="85"/>
      <c r="D79" s="85"/>
      <c r="E79" s="85">
        <v>32214</v>
      </c>
      <c r="F79" s="85"/>
      <c r="G79" s="86" t="s">
        <v>127</v>
      </c>
      <c r="H79" s="90">
        <f>H80</f>
        <v>3180</v>
      </c>
      <c r="I79" s="90">
        <f>I80</f>
        <v>0</v>
      </c>
      <c r="J79" s="90">
        <f>J80</f>
        <v>3180</v>
      </c>
    </row>
    <row r="80" spans="1:11" ht="20.100000000000001" hidden="1" customHeight="1" x14ac:dyDescent="0.2">
      <c r="A80" s="189"/>
      <c r="B80" s="189"/>
      <c r="C80" s="189"/>
      <c r="D80" s="189"/>
      <c r="E80" s="189"/>
      <c r="F80" s="189">
        <v>322140</v>
      </c>
      <c r="G80" s="262" t="s">
        <v>127</v>
      </c>
      <c r="H80" s="191">
        <v>3180</v>
      </c>
      <c r="I80" s="191">
        <f>J80-H80</f>
        <v>0</v>
      </c>
      <c r="J80" s="191">
        <v>3180</v>
      </c>
    </row>
    <row r="81" spans="1:10" ht="20.100000000000001" hidden="1" customHeight="1" x14ac:dyDescent="0.2">
      <c r="A81" s="85"/>
      <c r="B81" s="85"/>
      <c r="C81" s="85"/>
      <c r="D81" s="85"/>
      <c r="E81" s="85">
        <v>32216</v>
      </c>
      <c r="F81" s="85"/>
      <c r="G81" s="86" t="s">
        <v>130</v>
      </c>
      <c r="H81" s="90">
        <f>H82</f>
        <v>7729.08</v>
      </c>
      <c r="I81" s="90">
        <f>I82</f>
        <v>0</v>
      </c>
      <c r="J81" s="90">
        <f>J82</f>
        <v>7729.08</v>
      </c>
    </row>
    <row r="82" spans="1:10" ht="20.100000000000001" hidden="1" customHeight="1" x14ac:dyDescent="0.2">
      <c r="A82" s="189"/>
      <c r="B82" s="189"/>
      <c r="C82" s="189"/>
      <c r="D82" s="189"/>
      <c r="E82" s="189"/>
      <c r="F82" s="189">
        <v>322160</v>
      </c>
      <c r="G82" s="262" t="s">
        <v>130</v>
      </c>
      <c r="H82" s="191">
        <f>7729+0.08</f>
        <v>7729.08</v>
      </c>
      <c r="I82" s="191">
        <f>J82-H82</f>
        <v>0</v>
      </c>
      <c r="J82" s="191">
        <f>7729+0.08</f>
        <v>7729.08</v>
      </c>
    </row>
    <row r="83" spans="1:10" ht="20.100000000000001" hidden="1" customHeight="1" x14ac:dyDescent="0.2">
      <c r="A83" s="85"/>
      <c r="B83" s="85"/>
      <c r="C83" s="85"/>
      <c r="D83" s="85"/>
      <c r="E83" s="85">
        <v>32219</v>
      </c>
      <c r="F83" s="85"/>
      <c r="G83" s="86" t="s">
        <v>133</v>
      </c>
      <c r="H83" s="90">
        <f>H84</f>
        <v>2600</v>
      </c>
      <c r="I83" s="90">
        <f>I84</f>
        <v>0</v>
      </c>
      <c r="J83" s="90">
        <f>J84</f>
        <v>2600</v>
      </c>
    </row>
    <row r="84" spans="1:10" ht="20.100000000000001" hidden="1" customHeight="1" x14ac:dyDescent="0.2">
      <c r="A84" s="189"/>
      <c r="B84" s="189"/>
      <c r="C84" s="189"/>
      <c r="D84" s="189"/>
      <c r="E84" s="189"/>
      <c r="F84" s="189">
        <v>322190</v>
      </c>
      <c r="G84" s="262" t="s">
        <v>133</v>
      </c>
      <c r="H84" s="191">
        <v>2600</v>
      </c>
      <c r="I84" s="191">
        <f>J84-H84</f>
        <v>0</v>
      </c>
      <c r="J84" s="191">
        <v>2600</v>
      </c>
    </row>
    <row r="85" spans="1:10" ht="20.100000000000001" hidden="1" customHeight="1" x14ac:dyDescent="0.2">
      <c r="A85" s="85"/>
      <c r="B85" s="85"/>
      <c r="C85" s="85"/>
      <c r="D85" s="85">
        <v>3222</v>
      </c>
      <c r="E85" s="85"/>
      <c r="F85" s="85"/>
      <c r="G85" s="86" t="s">
        <v>29</v>
      </c>
      <c r="H85" s="90">
        <f>H86+H88</f>
        <v>496150</v>
      </c>
      <c r="I85" s="90">
        <f>I86+I88</f>
        <v>66063.75</v>
      </c>
      <c r="J85" s="90">
        <f>J86+J88</f>
        <v>562213.75</v>
      </c>
    </row>
    <row r="86" spans="1:10" ht="20.100000000000001" hidden="1" customHeight="1" x14ac:dyDescent="0.2">
      <c r="A86" s="85"/>
      <c r="B86" s="85"/>
      <c r="C86" s="85"/>
      <c r="D86" s="85"/>
      <c r="E86" s="85">
        <v>32221</v>
      </c>
      <c r="F86" s="85"/>
      <c r="G86" s="86" t="s">
        <v>136</v>
      </c>
      <c r="H86" s="90">
        <f>H87</f>
        <v>400140</v>
      </c>
      <c r="I86" s="90">
        <f>I87</f>
        <v>36300</v>
      </c>
      <c r="J86" s="90">
        <f>J87</f>
        <v>436440</v>
      </c>
    </row>
    <row r="87" spans="1:10" s="93" customFormat="1" ht="20.100000000000001" hidden="1" customHeight="1" x14ac:dyDescent="0.2">
      <c r="A87" s="189"/>
      <c r="B87" s="189"/>
      <c r="C87" s="189"/>
      <c r="D87" s="189"/>
      <c r="E87" s="189"/>
      <c r="F87" s="85">
        <v>322210</v>
      </c>
      <c r="G87" s="262" t="s">
        <v>136</v>
      </c>
      <c r="H87" s="191">
        <f>484740-11600-7000-10000-2000-5500-500-33000-10000-5000</f>
        <v>400140</v>
      </c>
      <c r="I87" s="191">
        <f>J87-H87</f>
        <v>36300</v>
      </c>
      <c r="J87" s="191">
        <f>453855-249.41-17165.59</f>
        <v>436440</v>
      </c>
    </row>
    <row r="88" spans="1:10" ht="20.100000000000001" hidden="1" customHeight="1" x14ac:dyDescent="0.2">
      <c r="A88" s="85"/>
      <c r="B88" s="85"/>
      <c r="C88" s="85"/>
      <c r="D88" s="85"/>
      <c r="E88" s="85">
        <v>32222</v>
      </c>
      <c r="F88" s="85"/>
      <c r="G88" s="86" t="s">
        <v>139</v>
      </c>
      <c r="H88" s="90">
        <f>H89</f>
        <v>96010</v>
      </c>
      <c r="I88" s="90">
        <f>I89</f>
        <v>29763.75</v>
      </c>
      <c r="J88" s="90">
        <f>J89</f>
        <v>125773.75</v>
      </c>
    </row>
    <row r="89" spans="1:10" ht="20.100000000000001" hidden="1" customHeight="1" x14ac:dyDescent="0.2">
      <c r="A89" s="189"/>
      <c r="B89" s="189"/>
      <c r="C89" s="189"/>
      <c r="D89" s="189"/>
      <c r="E89" s="189"/>
      <c r="F89" s="85">
        <v>322220</v>
      </c>
      <c r="G89" s="262" t="s">
        <v>139</v>
      </c>
      <c r="H89" s="191">
        <f>86010+10000</f>
        <v>96010</v>
      </c>
      <c r="I89" s="191">
        <f>J89-H89</f>
        <v>29763.75</v>
      </c>
      <c r="J89" s="191">
        <f>109653.75-1045.83+17165.83</f>
        <v>125773.75</v>
      </c>
    </row>
    <row r="90" spans="1:10" ht="20.100000000000001" hidden="1" customHeight="1" x14ac:dyDescent="0.2">
      <c r="A90" s="85"/>
      <c r="B90" s="85"/>
      <c r="C90" s="85"/>
      <c r="D90" s="85">
        <v>3223</v>
      </c>
      <c r="E90" s="85"/>
      <c r="F90" s="85"/>
      <c r="G90" s="86" t="s">
        <v>30</v>
      </c>
      <c r="H90" s="90">
        <f>H91+H94+H96</f>
        <v>52146.49</v>
      </c>
      <c r="I90" s="90">
        <f>I91+I94+I96</f>
        <v>-597.25</v>
      </c>
      <c r="J90" s="90">
        <f>J91+J94+J96</f>
        <v>51549.24</v>
      </c>
    </row>
    <row r="91" spans="1:10" ht="20.100000000000001" hidden="1" customHeight="1" x14ac:dyDescent="0.2">
      <c r="A91" s="85"/>
      <c r="B91" s="85"/>
      <c r="C91" s="85"/>
      <c r="D91" s="85"/>
      <c r="E91" s="85">
        <v>32231</v>
      </c>
      <c r="F91" s="85"/>
      <c r="G91" s="86" t="s">
        <v>142</v>
      </c>
      <c r="H91" s="90">
        <f>H92+H93</f>
        <v>22807.46</v>
      </c>
      <c r="I91" s="90">
        <f>I92+I93</f>
        <v>0</v>
      </c>
      <c r="J91" s="90">
        <f>J92+J93</f>
        <v>22807.46</v>
      </c>
    </row>
    <row r="92" spans="1:10" ht="20.100000000000001" hidden="1" customHeight="1" x14ac:dyDescent="0.2">
      <c r="A92" s="189"/>
      <c r="B92" s="189"/>
      <c r="C92" s="189"/>
      <c r="D92" s="189"/>
      <c r="E92" s="189"/>
      <c r="F92" s="189">
        <v>322310</v>
      </c>
      <c r="G92" s="262" t="s">
        <v>142</v>
      </c>
      <c r="H92" s="191">
        <v>8040</v>
      </c>
      <c r="I92" s="191">
        <f t="shared" ref="I92:I93" si="13">J92-H92</f>
        <v>0</v>
      </c>
      <c r="J92" s="191">
        <v>8040</v>
      </c>
    </row>
    <row r="93" spans="1:10" ht="20.100000000000001" hidden="1" customHeight="1" x14ac:dyDescent="0.2">
      <c r="A93" s="189"/>
      <c r="B93" s="189"/>
      <c r="C93" s="189"/>
      <c r="D93" s="189"/>
      <c r="E93" s="189"/>
      <c r="F93" s="189">
        <v>322311</v>
      </c>
      <c r="G93" s="262" t="s">
        <v>145</v>
      </c>
      <c r="H93" s="191">
        <f>14767+0.23+0.23</f>
        <v>14767.46</v>
      </c>
      <c r="I93" s="191">
        <f t="shared" si="13"/>
        <v>0</v>
      </c>
      <c r="J93" s="191">
        <f>14767+0.23+0.23</f>
        <v>14767.46</v>
      </c>
    </row>
    <row r="94" spans="1:10" ht="20.100000000000001" hidden="1" customHeight="1" x14ac:dyDescent="0.2">
      <c r="A94" s="85"/>
      <c r="B94" s="85"/>
      <c r="C94" s="85"/>
      <c r="D94" s="85"/>
      <c r="E94" s="85">
        <v>32233</v>
      </c>
      <c r="F94" s="85"/>
      <c r="G94" s="86" t="s">
        <v>147</v>
      </c>
      <c r="H94" s="90">
        <f>H95</f>
        <v>15271.78</v>
      </c>
      <c r="I94" s="90">
        <f>I95</f>
        <v>0</v>
      </c>
      <c r="J94" s="90">
        <f>J95</f>
        <v>15271.78</v>
      </c>
    </row>
    <row r="95" spans="1:10" ht="20.100000000000001" hidden="1" customHeight="1" x14ac:dyDescent="0.2">
      <c r="A95" s="189"/>
      <c r="B95" s="189"/>
      <c r="C95" s="189"/>
      <c r="D95" s="189"/>
      <c r="E95" s="189"/>
      <c r="F95" s="189">
        <v>322330</v>
      </c>
      <c r="G95" s="262" t="s">
        <v>147</v>
      </c>
      <c r="H95" s="191">
        <f>15272-0.22</f>
        <v>15271.78</v>
      </c>
      <c r="I95" s="191">
        <f>J95-H95</f>
        <v>0</v>
      </c>
      <c r="J95" s="191">
        <f>15272-0.22</f>
        <v>15271.78</v>
      </c>
    </row>
    <row r="96" spans="1:10" ht="20.100000000000001" hidden="1" customHeight="1" x14ac:dyDescent="0.2">
      <c r="A96" s="85"/>
      <c r="B96" s="85"/>
      <c r="C96" s="85"/>
      <c r="D96" s="85"/>
      <c r="E96" s="85">
        <v>32234</v>
      </c>
      <c r="F96" s="85"/>
      <c r="G96" s="86" t="s">
        <v>150</v>
      </c>
      <c r="H96" s="90">
        <f>H97</f>
        <v>14067.25</v>
      </c>
      <c r="I96" s="90">
        <f>I97</f>
        <v>-597.25</v>
      </c>
      <c r="J96" s="90">
        <f>J97</f>
        <v>13470</v>
      </c>
    </row>
    <row r="97" spans="1:11" ht="20.100000000000001" hidden="1" customHeight="1" x14ac:dyDescent="0.2">
      <c r="A97" s="189"/>
      <c r="B97" s="189"/>
      <c r="C97" s="189"/>
      <c r="D97" s="189"/>
      <c r="E97" s="189"/>
      <c r="F97" s="189">
        <v>322340</v>
      </c>
      <c r="G97" s="262" t="s">
        <v>150</v>
      </c>
      <c r="H97" s="191">
        <f>14067+0.25</f>
        <v>14067.25</v>
      </c>
      <c r="I97" s="191">
        <f>J97-H97</f>
        <v>-597.25</v>
      </c>
      <c r="J97" s="191">
        <v>13470</v>
      </c>
    </row>
    <row r="98" spans="1:11" ht="32.25" hidden="1" customHeight="1" x14ac:dyDescent="0.2">
      <c r="A98" s="85"/>
      <c r="B98" s="85"/>
      <c r="C98" s="85"/>
      <c r="D98" s="85">
        <v>3224</v>
      </c>
      <c r="E98" s="85"/>
      <c r="F98" s="85"/>
      <c r="G98" s="86" t="s">
        <v>31</v>
      </c>
      <c r="H98" s="90">
        <f t="shared" ref="H98:J99" si="14">H99</f>
        <v>3800</v>
      </c>
      <c r="I98" s="90">
        <f t="shared" si="14"/>
        <v>0</v>
      </c>
      <c r="J98" s="90">
        <f t="shared" si="14"/>
        <v>3800</v>
      </c>
    </row>
    <row r="99" spans="1:11" ht="44.25" hidden="1" customHeight="1" x14ac:dyDescent="0.2">
      <c r="A99" s="85"/>
      <c r="B99" s="85"/>
      <c r="C99" s="85"/>
      <c r="D99" s="85"/>
      <c r="E99" s="85">
        <v>32242</v>
      </c>
      <c r="F99" s="85"/>
      <c r="G99" s="86" t="s">
        <v>378</v>
      </c>
      <c r="H99" s="90">
        <f>H100</f>
        <v>3800</v>
      </c>
      <c r="I99" s="90">
        <f t="shared" si="14"/>
        <v>0</v>
      </c>
      <c r="J99" s="90">
        <f>J100</f>
        <v>3800</v>
      </c>
    </row>
    <row r="100" spans="1:11" ht="32.25" hidden="1" customHeight="1" x14ac:dyDescent="0.2">
      <c r="A100" s="189"/>
      <c r="B100" s="189"/>
      <c r="C100" s="189"/>
      <c r="D100" s="189"/>
      <c r="E100" s="189"/>
      <c r="F100" s="189">
        <v>322420</v>
      </c>
      <c r="G100" s="262" t="s">
        <v>378</v>
      </c>
      <c r="H100" s="191">
        <f>4300-500</f>
        <v>3800</v>
      </c>
      <c r="I100" s="191">
        <f>J100-H100</f>
        <v>0</v>
      </c>
      <c r="J100" s="191">
        <f>4300-500</f>
        <v>3800</v>
      </c>
    </row>
    <row r="101" spans="1:11" ht="20.100000000000001" hidden="1" customHeight="1" x14ac:dyDescent="0.2">
      <c r="A101" s="85"/>
      <c r="B101" s="85"/>
      <c r="C101" s="85"/>
      <c r="D101" s="85">
        <v>3225</v>
      </c>
      <c r="E101" s="85"/>
      <c r="F101" s="85"/>
      <c r="G101" s="86" t="s">
        <v>32</v>
      </c>
      <c r="H101" s="90">
        <f>H102+H104</f>
        <v>6800</v>
      </c>
      <c r="I101" s="90">
        <f>I102+I104</f>
        <v>2000</v>
      </c>
      <c r="J101" s="90">
        <f>J102+J104</f>
        <v>8800</v>
      </c>
    </row>
    <row r="102" spans="1:11" ht="20.100000000000001" hidden="1" customHeight="1" x14ac:dyDescent="0.2">
      <c r="A102" s="85"/>
      <c r="B102" s="85"/>
      <c r="C102" s="85"/>
      <c r="D102" s="85"/>
      <c r="E102" s="85">
        <v>32251</v>
      </c>
      <c r="F102" s="85"/>
      <c r="G102" s="86" t="s">
        <v>158</v>
      </c>
      <c r="H102" s="90">
        <f>H103</f>
        <v>4200</v>
      </c>
      <c r="I102" s="90">
        <f>I103</f>
        <v>2000</v>
      </c>
      <c r="J102" s="90">
        <f>J103</f>
        <v>6200</v>
      </c>
    </row>
    <row r="103" spans="1:11" ht="20.100000000000001" hidden="1" customHeight="1" x14ac:dyDescent="0.2">
      <c r="A103" s="189"/>
      <c r="B103" s="189"/>
      <c r="C103" s="189"/>
      <c r="D103" s="189"/>
      <c r="E103" s="189"/>
      <c r="F103" s="189">
        <v>322510</v>
      </c>
      <c r="G103" s="262" t="s">
        <v>158</v>
      </c>
      <c r="H103" s="191">
        <f>3700+500</f>
        <v>4200</v>
      </c>
      <c r="I103" s="191">
        <f>J103-H103</f>
        <v>2000</v>
      </c>
      <c r="J103" s="191">
        <f>3700+500+2000</f>
        <v>6200</v>
      </c>
    </row>
    <row r="104" spans="1:11" ht="20.100000000000001" hidden="1" customHeight="1" x14ac:dyDescent="0.2">
      <c r="A104" s="85"/>
      <c r="B104" s="85"/>
      <c r="C104" s="85"/>
      <c r="D104" s="85"/>
      <c r="E104" s="85">
        <v>32252</v>
      </c>
      <c r="F104" s="85"/>
      <c r="G104" s="86" t="s">
        <v>161</v>
      </c>
      <c r="H104" s="90">
        <f>H105</f>
        <v>2600</v>
      </c>
      <c r="I104" s="90">
        <f>I105</f>
        <v>0</v>
      </c>
      <c r="J104" s="90">
        <f>J105</f>
        <v>2600</v>
      </c>
    </row>
    <row r="105" spans="1:11" ht="20.100000000000001" hidden="1" customHeight="1" x14ac:dyDescent="0.2">
      <c r="A105" s="189"/>
      <c r="B105" s="189"/>
      <c r="C105" s="189"/>
      <c r="D105" s="189"/>
      <c r="E105" s="189"/>
      <c r="F105" s="189">
        <v>322520</v>
      </c>
      <c r="G105" s="262" t="s">
        <v>161</v>
      </c>
      <c r="H105" s="191">
        <v>2600</v>
      </c>
      <c r="I105" s="191">
        <f>J105-H105</f>
        <v>0</v>
      </c>
      <c r="J105" s="191">
        <v>2600</v>
      </c>
    </row>
    <row r="106" spans="1:11" ht="20.100000000000001" hidden="1" customHeight="1" x14ac:dyDescent="0.2">
      <c r="A106" s="85"/>
      <c r="B106" s="85"/>
      <c r="C106" s="85"/>
      <c r="D106" s="85">
        <v>3227</v>
      </c>
      <c r="E106" s="85"/>
      <c r="F106" s="85"/>
      <c r="G106" s="86" t="s">
        <v>33</v>
      </c>
      <c r="H106" s="90">
        <f t="shared" ref="H106:J107" si="15">H107</f>
        <v>4500</v>
      </c>
      <c r="I106" s="90">
        <f t="shared" si="15"/>
        <v>2000</v>
      </c>
      <c r="J106" s="90">
        <f t="shared" si="15"/>
        <v>6500</v>
      </c>
    </row>
    <row r="107" spans="1:11" ht="20.100000000000001" hidden="1" customHeight="1" x14ac:dyDescent="0.2">
      <c r="A107" s="85"/>
      <c r="B107" s="85"/>
      <c r="C107" s="85"/>
      <c r="D107" s="85"/>
      <c r="E107" s="85">
        <v>32271</v>
      </c>
      <c r="F107" s="85"/>
      <c r="G107" s="86" t="s">
        <v>33</v>
      </c>
      <c r="H107" s="90">
        <f t="shared" si="15"/>
        <v>4500</v>
      </c>
      <c r="I107" s="90">
        <f t="shared" si="15"/>
        <v>2000</v>
      </c>
      <c r="J107" s="90">
        <f t="shared" si="15"/>
        <v>6500</v>
      </c>
    </row>
    <row r="108" spans="1:11" ht="20.100000000000001" hidden="1" customHeight="1" x14ac:dyDescent="0.2">
      <c r="A108" s="189"/>
      <c r="B108" s="189"/>
      <c r="C108" s="189"/>
      <c r="D108" s="189"/>
      <c r="E108" s="189"/>
      <c r="F108" s="189">
        <v>322710</v>
      </c>
      <c r="G108" s="262" t="s">
        <v>33</v>
      </c>
      <c r="H108" s="191">
        <v>4500</v>
      </c>
      <c r="I108" s="191">
        <f>J108-H108</f>
        <v>2000</v>
      </c>
      <c r="J108" s="191">
        <f>4500+2000</f>
        <v>6500</v>
      </c>
    </row>
    <row r="109" spans="1:11" s="75" customFormat="1" ht="20.100000000000001" hidden="1" customHeight="1" x14ac:dyDescent="0.2">
      <c r="A109" s="147"/>
      <c r="B109" s="87"/>
      <c r="C109" s="87">
        <v>323</v>
      </c>
      <c r="D109" s="87"/>
      <c r="E109" s="87"/>
      <c r="F109" s="87"/>
      <c r="G109" s="161" t="s">
        <v>34</v>
      </c>
      <c r="H109" s="206">
        <f>H110+H120+H125+H128+H136+H143+H148+H156+H159</f>
        <v>440261.94</v>
      </c>
      <c r="I109" s="206">
        <f>I110+I120+I125+I128+I136+I143+I148+I156+I159</f>
        <v>-17341.189999999995</v>
      </c>
      <c r="J109" s="206">
        <f>J110+J120+J125+J128+J136+J143+J148+J156+J159</f>
        <v>422920.75</v>
      </c>
    </row>
    <row r="110" spans="1:11" ht="20.100000000000001" hidden="1" customHeight="1" x14ac:dyDescent="0.2">
      <c r="A110" s="85"/>
      <c r="B110" s="85"/>
      <c r="C110" s="85"/>
      <c r="D110" s="85">
        <v>3231</v>
      </c>
      <c r="E110" s="85"/>
      <c r="F110" s="85"/>
      <c r="G110" s="94" t="s">
        <v>35</v>
      </c>
      <c r="H110" s="90">
        <f>H111+H113+H115+H117</f>
        <v>24386.34</v>
      </c>
      <c r="I110" s="90">
        <f>I111+I113+I115+I117</f>
        <v>500</v>
      </c>
      <c r="J110" s="90">
        <f>J111+J113+J115+J117</f>
        <v>24886.34</v>
      </c>
      <c r="K110" s="339"/>
    </row>
    <row r="111" spans="1:11" ht="20.100000000000001" hidden="1" customHeight="1" x14ac:dyDescent="0.2">
      <c r="A111" s="85"/>
      <c r="B111" s="85"/>
      <c r="C111" s="85"/>
      <c r="D111" s="85"/>
      <c r="E111" s="85">
        <v>32311</v>
      </c>
      <c r="F111" s="85"/>
      <c r="G111" s="94" t="s">
        <v>379</v>
      </c>
      <c r="H111" s="90">
        <f>H112</f>
        <v>18186.34</v>
      </c>
      <c r="I111" s="90">
        <f>I112</f>
        <v>0</v>
      </c>
      <c r="J111" s="90">
        <f>J112</f>
        <v>18186.34</v>
      </c>
      <c r="K111" s="339"/>
    </row>
    <row r="112" spans="1:11" ht="20.100000000000001" hidden="1" customHeight="1" x14ac:dyDescent="0.2">
      <c r="A112" s="189"/>
      <c r="B112" s="189"/>
      <c r="C112" s="189"/>
      <c r="D112" s="189"/>
      <c r="E112" s="189"/>
      <c r="F112" s="189">
        <v>323110</v>
      </c>
      <c r="G112" s="190" t="s">
        <v>379</v>
      </c>
      <c r="H112" s="191">
        <v>18186.34</v>
      </c>
      <c r="I112" s="191">
        <f>J112-H112</f>
        <v>0</v>
      </c>
      <c r="J112" s="191">
        <v>18186.34</v>
      </c>
      <c r="K112" s="339"/>
    </row>
    <row r="113" spans="1:11" ht="20.100000000000001" hidden="1" customHeight="1" x14ac:dyDescent="0.2">
      <c r="A113" s="85"/>
      <c r="B113" s="85"/>
      <c r="C113" s="85"/>
      <c r="D113" s="85"/>
      <c r="E113" s="85">
        <v>32312</v>
      </c>
      <c r="F113" s="85"/>
      <c r="G113" s="94" t="s">
        <v>171</v>
      </c>
      <c r="H113" s="90">
        <f>H114</f>
        <v>0</v>
      </c>
      <c r="I113" s="90">
        <f>I114</f>
        <v>0</v>
      </c>
      <c r="J113" s="90">
        <f>J114</f>
        <v>0</v>
      </c>
      <c r="K113" s="339"/>
    </row>
    <row r="114" spans="1:11" ht="20.100000000000001" hidden="1" customHeight="1" x14ac:dyDescent="0.2">
      <c r="A114" s="189"/>
      <c r="B114" s="189"/>
      <c r="C114" s="189"/>
      <c r="D114" s="189"/>
      <c r="E114" s="189"/>
      <c r="F114" s="85">
        <v>323120</v>
      </c>
      <c r="G114" s="94" t="s">
        <v>171</v>
      </c>
      <c r="H114" s="191">
        <v>0</v>
      </c>
      <c r="I114" s="191">
        <f>J114-H114</f>
        <v>0</v>
      </c>
      <c r="J114" s="191">
        <v>0</v>
      </c>
      <c r="K114" s="339"/>
    </row>
    <row r="115" spans="1:11" ht="20.100000000000001" hidden="1" customHeight="1" x14ac:dyDescent="0.2">
      <c r="A115" s="85"/>
      <c r="B115" s="85"/>
      <c r="C115" s="85"/>
      <c r="D115" s="85"/>
      <c r="E115" s="85">
        <v>32313</v>
      </c>
      <c r="F115" s="85"/>
      <c r="G115" s="94" t="s">
        <v>174</v>
      </c>
      <c r="H115" s="90">
        <f>H116</f>
        <v>4200</v>
      </c>
      <c r="I115" s="90">
        <f>I116</f>
        <v>500</v>
      </c>
      <c r="J115" s="90">
        <f>J116</f>
        <v>4700</v>
      </c>
      <c r="K115" s="339"/>
    </row>
    <row r="116" spans="1:11" ht="20.100000000000001" hidden="1" customHeight="1" x14ac:dyDescent="0.2">
      <c r="A116" s="189"/>
      <c r="B116" s="189"/>
      <c r="C116" s="189"/>
      <c r="D116" s="189"/>
      <c r="E116" s="189"/>
      <c r="F116" s="189">
        <v>323130</v>
      </c>
      <c r="G116" s="190" t="s">
        <v>174</v>
      </c>
      <c r="H116" s="191">
        <f>3200+1000</f>
        <v>4200</v>
      </c>
      <c r="I116" s="191">
        <f>J116-H116</f>
        <v>500</v>
      </c>
      <c r="J116" s="191">
        <f>3200+1000+500</f>
        <v>4700</v>
      </c>
      <c r="K116" s="339"/>
    </row>
    <row r="117" spans="1:11" ht="20.100000000000001" hidden="1" customHeight="1" x14ac:dyDescent="0.2">
      <c r="A117" s="85"/>
      <c r="B117" s="85"/>
      <c r="C117" s="85"/>
      <c r="D117" s="85"/>
      <c r="E117" s="85">
        <v>32319</v>
      </c>
      <c r="F117" s="85"/>
      <c r="G117" s="94" t="s">
        <v>177</v>
      </c>
      <c r="H117" s="90">
        <f t="shared" ref="H117" si="16">H118+H119</f>
        <v>2000</v>
      </c>
      <c r="I117" s="90">
        <f t="shared" ref="I117:J117" si="17">I118+I119</f>
        <v>0</v>
      </c>
      <c r="J117" s="90">
        <f t="shared" si="17"/>
        <v>2000</v>
      </c>
      <c r="K117" s="339"/>
    </row>
    <row r="118" spans="1:11" ht="20.100000000000001" hidden="1" customHeight="1" x14ac:dyDescent="0.2">
      <c r="A118" s="189"/>
      <c r="B118" s="189"/>
      <c r="C118" s="189"/>
      <c r="D118" s="189"/>
      <c r="E118" s="189"/>
      <c r="F118" s="189">
        <v>323190</v>
      </c>
      <c r="G118" s="190" t="s">
        <v>177</v>
      </c>
      <c r="H118" s="191">
        <v>270</v>
      </c>
      <c r="I118" s="191">
        <f>J118-H118</f>
        <v>0</v>
      </c>
      <c r="J118" s="191">
        <v>270</v>
      </c>
      <c r="K118" s="339"/>
    </row>
    <row r="119" spans="1:11" ht="20.100000000000001" hidden="1" customHeight="1" x14ac:dyDescent="0.2">
      <c r="A119" s="189"/>
      <c r="B119" s="189"/>
      <c r="C119" s="189"/>
      <c r="D119" s="189"/>
      <c r="E119" s="189"/>
      <c r="F119" s="189">
        <v>323191</v>
      </c>
      <c r="G119" s="190" t="s">
        <v>458</v>
      </c>
      <c r="H119" s="191">
        <f>1730</f>
        <v>1730</v>
      </c>
      <c r="I119" s="191">
        <f>J119-H119</f>
        <v>0</v>
      </c>
      <c r="J119" s="191">
        <f>1730</f>
        <v>1730</v>
      </c>
      <c r="K119" s="339"/>
    </row>
    <row r="120" spans="1:11" ht="20.100000000000001" hidden="1" customHeight="1" x14ac:dyDescent="0.2">
      <c r="A120" s="85"/>
      <c r="B120" s="85"/>
      <c r="C120" s="85"/>
      <c r="D120" s="85">
        <v>3232</v>
      </c>
      <c r="E120" s="85"/>
      <c r="F120" s="85"/>
      <c r="G120" s="86" t="s">
        <v>36</v>
      </c>
      <c r="H120" s="90">
        <f>H121+H123</f>
        <v>104327.67999999999</v>
      </c>
      <c r="I120" s="90">
        <f>I121+I123</f>
        <v>-13200</v>
      </c>
      <c r="J120" s="90">
        <f>J121+J123</f>
        <v>91127.679999999993</v>
      </c>
      <c r="K120" s="339"/>
    </row>
    <row r="121" spans="1:11" ht="25.5" hidden="1" x14ac:dyDescent="0.2">
      <c r="A121" s="85"/>
      <c r="B121" s="85"/>
      <c r="C121" s="85"/>
      <c r="D121" s="85"/>
      <c r="E121" s="85">
        <v>32322</v>
      </c>
      <c r="F121" s="85"/>
      <c r="G121" s="86" t="s">
        <v>180</v>
      </c>
      <c r="H121" s="90">
        <f t="shared" ref="H121:J121" si="18">H122</f>
        <v>87505.45</v>
      </c>
      <c r="I121" s="90">
        <f t="shared" si="18"/>
        <v>-9200</v>
      </c>
      <c r="J121" s="90">
        <f t="shared" si="18"/>
        <v>78305.45</v>
      </c>
      <c r="K121" s="339"/>
    </row>
    <row r="122" spans="1:11" ht="25.5" hidden="1" x14ac:dyDescent="0.2">
      <c r="A122" s="189"/>
      <c r="B122" s="189"/>
      <c r="C122" s="189"/>
      <c r="D122" s="189"/>
      <c r="E122" s="189"/>
      <c r="F122" s="189">
        <v>323220</v>
      </c>
      <c r="G122" s="262" t="s">
        <v>180</v>
      </c>
      <c r="H122" s="191">
        <f>95505.45-8000</f>
        <v>87505.45</v>
      </c>
      <c r="I122" s="191">
        <f>J122-H122</f>
        <v>-9200</v>
      </c>
      <c r="J122" s="191">
        <f>88305.45-6000-5000-500-500+2000</f>
        <v>78305.45</v>
      </c>
      <c r="K122" s="339"/>
    </row>
    <row r="123" spans="1:11" ht="25.5" hidden="1" x14ac:dyDescent="0.2">
      <c r="A123" s="189"/>
      <c r="B123" s="189"/>
      <c r="C123" s="189"/>
      <c r="D123" s="189"/>
      <c r="E123" s="85">
        <v>32323</v>
      </c>
      <c r="F123" s="85"/>
      <c r="G123" s="86" t="s">
        <v>478</v>
      </c>
      <c r="H123" s="90">
        <f>H124</f>
        <v>16822.23</v>
      </c>
      <c r="I123" s="90">
        <f>I124</f>
        <v>-4000</v>
      </c>
      <c r="J123" s="90">
        <f>J124</f>
        <v>12822.23</v>
      </c>
      <c r="K123" s="339"/>
    </row>
    <row r="124" spans="1:11" ht="25.5" hidden="1" x14ac:dyDescent="0.2">
      <c r="A124" s="189"/>
      <c r="B124" s="189"/>
      <c r="C124" s="189"/>
      <c r="D124" s="189"/>
      <c r="E124" s="189"/>
      <c r="F124" s="189">
        <v>323230</v>
      </c>
      <c r="G124" s="262" t="s">
        <v>478</v>
      </c>
      <c r="H124" s="191">
        <f>8180+642.23+8000</f>
        <v>16822.23</v>
      </c>
      <c r="I124" s="191">
        <f>J124-H124</f>
        <v>-4000</v>
      </c>
      <c r="J124" s="191">
        <f>8180+642.23+8000-500-500-1000-2000</f>
        <v>12822.23</v>
      </c>
      <c r="K124" s="339"/>
    </row>
    <row r="125" spans="1:11" ht="20.100000000000001" hidden="1" customHeight="1" x14ac:dyDescent="0.2">
      <c r="A125" s="85"/>
      <c r="B125" s="85"/>
      <c r="C125" s="85"/>
      <c r="D125" s="85">
        <v>3233</v>
      </c>
      <c r="E125" s="85"/>
      <c r="F125" s="85"/>
      <c r="G125" s="94" t="s">
        <v>37</v>
      </c>
      <c r="H125" s="90">
        <f t="shared" ref="H125:J126" si="19">H126</f>
        <v>4165</v>
      </c>
      <c r="I125" s="90">
        <f t="shared" si="19"/>
        <v>-495</v>
      </c>
      <c r="J125" s="90">
        <f t="shared" si="19"/>
        <v>3670</v>
      </c>
      <c r="K125" s="339"/>
    </row>
    <row r="126" spans="1:11" ht="20.100000000000001" hidden="1" customHeight="1" x14ac:dyDescent="0.2">
      <c r="A126" s="85"/>
      <c r="B126" s="85"/>
      <c r="C126" s="85"/>
      <c r="D126" s="85"/>
      <c r="E126" s="85">
        <v>32339</v>
      </c>
      <c r="F126" s="85"/>
      <c r="G126" s="94" t="s">
        <v>183</v>
      </c>
      <c r="H126" s="90">
        <f t="shared" si="19"/>
        <v>4165</v>
      </c>
      <c r="I126" s="90">
        <f t="shared" si="19"/>
        <v>-495</v>
      </c>
      <c r="J126" s="90">
        <f t="shared" si="19"/>
        <v>3670</v>
      </c>
      <c r="K126" s="339"/>
    </row>
    <row r="127" spans="1:11" ht="20.100000000000001" hidden="1" customHeight="1" x14ac:dyDescent="0.2">
      <c r="A127" s="189"/>
      <c r="B127" s="189"/>
      <c r="C127" s="189"/>
      <c r="D127" s="189"/>
      <c r="E127" s="189"/>
      <c r="F127" s="85">
        <v>323390</v>
      </c>
      <c r="G127" s="190" t="s">
        <v>183</v>
      </c>
      <c r="H127" s="191">
        <v>4165</v>
      </c>
      <c r="I127" s="191">
        <f>J127-H127</f>
        <v>-495</v>
      </c>
      <c r="J127" s="191">
        <v>3670</v>
      </c>
      <c r="K127" s="339"/>
    </row>
    <row r="128" spans="1:11" ht="20.100000000000001" hidden="1" customHeight="1" x14ac:dyDescent="0.2">
      <c r="A128" s="85"/>
      <c r="B128" s="85"/>
      <c r="C128" s="85"/>
      <c r="D128" s="85">
        <v>3234</v>
      </c>
      <c r="E128" s="85"/>
      <c r="F128" s="85"/>
      <c r="G128" s="94" t="s">
        <v>38</v>
      </c>
      <c r="H128" s="90">
        <f>H129+H131+H133</f>
        <v>37578.17</v>
      </c>
      <c r="I128" s="90">
        <f>I129+I131+I133</f>
        <v>-7400</v>
      </c>
      <c r="J128" s="90">
        <f>J129+J131+J133</f>
        <v>30178.17</v>
      </c>
      <c r="K128" s="339"/>
    </row>
    <row r="129" spans="1:11" ht="20.100000000000001" hidden="1" customHeight="1" x14ac:dyDescent="0.2">
      <c r="A129" s="85"/>
      <c r="B129" s="85"/>
      <c r="C129" s="85"/>
      <c r="D129" s="85"/>
      <c r="E129" s="85">
        <v>32341</v>
      </c>
      <c r="F129" s="85"/>
      <c r="G129" s="94" t="s">
        <v>186</v>
      </c>
      <c r="H129" s="90">
        <f>H130</f>
        <v>3405.45</v>
      </c>
      <c r="I129" s="90">
        <f>I130</f>
        <v>0</v>
      </c>
      <c r="J129" s="90">
        <f>J130</f>
        <v>3405.45</v>
      </c>
      <c r="K129" s="339"/>
    </row>
    <row r="130" spans="1:11" ht="20.100000000000001" hidden="1" customHeight="1" x14ac:dyDescent="0.2">
      <c r="A130" s="189"/>
      <c r="B130" s="189"/>
      <c r="C130" s="189"/>
      <c r="D130" s="189"/>
      <c r="E130" s="189"/>
      <c r="F130" s="189">
        <v>323410</v>
      </c>
      <c r="G130" s="190" t="s">
        <v>186</v>
      </c>
      <c r="H130" s="191">
        <v>3405.45</v>
      </c>
      <c r="I130" s="191">
        <f>J130-H130</f>
        <v>0</v>
      </c>
      <c r="J130" s="191">
        <v>3405.45</v>
      </c>
      <c r="K130" s="339"/>
    </row>
    <row r="131" spans="1:11" ht="20.100000000000001" hidden="1" customHeight="1" x14ac:dyDescent="0.2">
      <c r="A131" s="85"/>
      <c r="B131" s="85"/>
      <c r="C131" s="85"/>
      <c r="D131" s="85"/>
      <c r="E131" s="85">
        <v>32342</v>
      </c>
      <c r="F131" s="85"/>
      <c r="G131" s="94" t="s">
        <v>189</v>
      </c>
      <c r="H131" s="90">
        <f>H132</f>
        <v>20780</v>
      </c>
      <c r="I131" s="90">
        <f>I132</f>
        <v>-7400</v>
      </c>
      <c r="J131" s="90">
        <f>J132</f>
        <v>13380</v>
      </c>
      <c r="K131" s="339"/>
    </row>
    <row r="132" spans="1:11" ht="20.100000000000001" hidden="1" customHeight="1" x14ac:dyDescent="0.2">
      <c r="A132" s="189"/>
      <c r="B132" s="189"/>
      <c r="C132" s="189"/>
      <c r="D132" s="189"/>
      <c r="E132" s="189"/>
      <c r="F132" s="189">
        <v>323420</v>
      </c>
      <c r="G132" s="190" t="s">
        <v>189</v>
      </c>
      <c r="H132" s="191">
        <f>21280-500</f>
        <v>20780</v>
      </c>
      <c r="I132" s="191">
        <f>J132-H132</f>
        <v>-7400</v>
      </c>
      <c r="J132" s="191">
        <f>21280-500-500-3600-1300-2000</f>
        <v>13380</v>
      </c>
      <c r="K132" s="339"/>
    </row>
    <row r="133" spans="1:11" ht="20.100000000000001" hidden="1" customHeight="1" x14ac:dyDescent="0.2">
      <c r="A133" s="85"/>
      <c r="B133" s="85"/>
      <c r="C133" s="85"/>
      <c r="D133" s="85"/>
      <c r="E133" s="85">
        <v>32349</v>
      </c>
      <c r="F133" s="85"/>
      <c r="G133" s="94" t="s">
        <v>192</v>
      </c>
      <c r="H133" s="90">
        <f>H134+H135</f>
        <v>13392.72</v>
      </c>
      <c r="I133" s="90">
        <f>I134+I135</f>
        <v>0</v>
      </c>
      <c r="J133" s="90">
        <f>J134+J135</f>
        <v>13392.72</v>
      </c>
      <c r="K133" s="339"/>
    </row>
    <row r="134" spans="1:11" ht="20.100000000000001" hidden="1" customHeight="1" x14ac:dyDescent="0.2">
      <c r="A134" s="189"/>
      <c r="B134" s="189"/>
      <c r="C134" s="189"/>
      <c r="D134" s="189"/>
      <c r="E134" s="189"/>
      <c r="F134" s="85">
        <v>323490</v>
      </c>
      <c r="G134" s="190" t="s">
        <v>192</v>
      </c>
      <c r="H134" s="191">
        <v>1510</v>
      </c>
      <c r="I134" s="191">
        <f t="shared" ref="I134:I135" si="20">J134-H134</f>
        <v>0</v>
      </c>
      <c r="J134" s="191">
        <v>1510</v>
      </c>
      <c r="K134" s="339"/>
    </row>
    <row r="135" spans="1:11" ht="20.100000000000001" hidden="1" customHeight="1" x14ac:dyDescent="0.2">
      <c r="A135" s="189"/>
      <c r="B135" s="189"/>
      <c r="C135" s="189"/>
      <c r="D135" s="189"/>
      <c r="E135" s="189"/>
      <c r="F135" s="85">
        <v>323491</v>
      </c>
      <c r="G135" s="262" t="s">
        <v>195</v>
      </c>
      <c r="H135" s="191">
        <f>11382.72+500</f>
        <v>11882.72</v>
      </c>
      <c r="I135" s="191">
        <f t="shared" si="20"/>
        <v>0</v>
      </c>
      <c r="J135" s="191">
        <f>11382.72+500</f>
        <v>11882.72</v>
      </c>
      <c r="K135" s="339"/>
    </row>
    <row r="136" spans="1:11" ht="20.100000000000001" hidden="1" customHeight="1" x14ac:dyDescent="0.2">
      <c r="A136" s="85"/>
      <c r="B136" s="85"/>
      <c r="C136" s="85"/>
      <c r="D136" s="85">
        <v>3235</v>
      </c>
      <c r="E136" s="85"/>
      <c r="F136" s="85"/>
      <c r="G136" s="94" t="s">
        <v>39</v>
      </c>
      <c r="H136" s="90">
        <f>H137+H139+H141</f>
        <v>2800</v>
      </c>
      <c r="I136" s="90">
        <f>I137+I139+I141</f>
        <v>0</v>
      </c>
      <c r="J136" s="90">
        <f>J137+J139+J141</f>
        <v>2800</v>
      </c>
      <c r="K136" s="339"/>
    </row>
    <row r="137" spans="1:11" ht="20.100000000000001" hidden="1" customHeight="1" x14ac:dyDescent="0.2">
      <c r="A137" s="85"/>
      <c r="B137" s="85"/>
      <c r="C137" s="85"/>
      <c r="D137" s="85"/>
      <c r="E137" s="85">
        <v>32352</v>
      </c>
      <c r="F137" s="85"/>
      <c r="G137" s="94" t="s">
        <v>197</v>
      </c>
      <c r="H137" s="90">
        <f>H138</f>
        <v>70</v>
      </c>
      <c r="I137" s="90">
        <f>I138</f>
        <v>0</v>
      </c>
      <c r="J137" s="90">
        <f>J138</f>
        <v>70</v>
      </c>
      <c r="K137" s="339"/>
    </row>
    <row r="138" spans="1:11" ht="20.100000000000001" hidden="1" customHeight="1" x14ac:dyDescent="0.2">
      <c r="A138" s="189"/>
      <c r="B138" s="189"/>
      <c r="C138" s="189"/>
      <c r="D138" s="189"/>
      <c r="E138" s="189"/>
      <c r="F138" s="189">
        <v>323520</v>
      </c>
      <c r="G138" s="190" t="s">
        <v>197</v>
      </c>
      <c r="H138" s="191">
        <v>70</v>
      </c>
      <c r="I138" s="191">
        <f>J138-H138</f>
        <v>0</v>
      </c>
      <c r="J138" s="191">
        <v>70</v>
      </c>
      <c r="K138" s="339"/>
    </row>
    <row r="139" spans="1:11" ht="20.100000000000001" hidden="1" customHeight="1" x14ac:dyDescent="0.2">
      <c r="A139" s="85"/>
      <c r="B139" s="85"/>
      <c r="C139" s="85"/>
      <c r="D139" s="85"/>
      <c r="E139" s="85">
        <v>32354</v>
      </c>
      <c r="F139" s="85"/>
      <c r="G139" s="94" t="s">
        <v>62</v>
      </c>
      <c r="H139" s="90">
        <f>H140</f>
        <v>2200</v>
      </c>
      <c r="I139" s="90">
        <f>I140</f>
        <v>0</v>
      </c>
      <c r="J139" s="90">
        <f>J140</f>
        <v>2200</v>
      </c>
      <c r="K139" s="339"/>
    </row>
    <row r="140" spans="1:11" ht="20.100000000000001" hidden="1" customHeight="1" x14ac:dyDescent="0.2">
      <c r="A140" s="189"/>
      <c r="B140" s="189"/>
      <c r="C140" s="189"/>
      <c r="D140" s="189"/>
      <c r="E140" s="189"/>
      <c r="F140" s="189">
        <v>323540</v>
      </c>
      <c r="G140" s="190" t="s">
        <v>62</v>
      </c>
      <c r="H140" s="191">
        <v>2200</v>
      </c>
      <c r="I140" s="191">
        <f>J140-H140</f>
        <v>0</v>
      </c>
      <c r="J140" s="191">
        <v>2200</v>
      </c>
      <c r="K140" s="339"/>
    </row>
    <row r="141" spans="1:11" ht="20.100000000000001" hidden="1" customHeight="1" x14ac:dyDescent="0.2">
      <c r="A141" s="85"/>
      <c r="B141" s="85"/>
      <c r="C141" s="85"/>
      <c r="D141" s="85"/>
      <c r="E141" s="85">
        <v>32359</v>
      </c>
      <c r="F141" s="85"/>
      <c r="G141" s="94" t="s">
        <v>380</v>
      </c>
      <c r="H141" s="90">
        <f>H142</f>
        <v>530</v>
      </c>
      <c r="I141" s="90">
        <f>I142</f>
        <v>0</v>
      </c>
      <c r="J141" s="90">
        <f>J142</f>
        <v>530</v>
      </c>
      <c r="K141" s="339"/>
    </row>
    <row r="142" spans="1:11" ht="20.100000000000001" hidden="1" customHeight="1" x14ac:dyDescent="0.2">
      <c r="A142" s="189"/>
      <c r="B142" s="189"/>
      <c r="C142" s="189"/>
      <c r="D142" s="189"/>
      <c r="E142" s="189"/>
      <c r="F142" s="189">
        <v>323590</v>
      </c>
      <c r="G142" s="190" t="s">
        <v>380</v>
      </c>
      <c r="H142" s="191">
        <v>530</v>
      </c>
      <c r="I142" s="191">
        <f>J142-H142</f>
        <v>0</v>
      </c>
      <c r="J142" s="191">
        <v>530</v>
      </c>
      <c r="K142" s="339"/>
    </row>
    <row r="143" spans="1:11" ht="20.100000000000001" hidden="1" customHeight="1" x14ac:dyDescent="0.2">
      <c r="A143" s="85"/>
      <c r="B143" s="85"/>
      <c r="C143" s="85"/>
      <c r="D143" s="85">
        <v>3236</v>
      </c>
      <c r="E143" s="85"/>
      <c r="F143" s="85"/>
      <c r="G143" s="94" t="s">
        <v>40</v>
      </c>
      <c r="H143" s="90">
        <f>H144+H146</f>
        <v>49750</v>
      </c>
      <c r="I143" s="90">
        <f>I144+I146</f>
        <v>4300</v>
      </c>
      <c r="J143" s="90">
        <f>J144+J146</f>
        <v>54050</v>
      </c>
      <c r="K143" s="339"/>
    </row>
    <row r="144" spans="1:11" s="96" customFormat="1" ht="20.100000000000001" hidden="1" customHeight="1" x14ac:dyDescent="0.2">
      <c r="A144" s="95"/>
      <c r="B144" s="95"/>
      <c r="C144" s="85"/>
      <c r="D144" s="85"/>
      <c r="E144" s="85">
        <v>32363</v>
      </c>
      <c r="F144" s="85"/>
      <c r="G144" s="94" t="s">
        <v>203</v>
      </c>
      <c r="H144" s="90">
        <f>H145</f>
        <v>36750</v>
      </c>
      <c r="I144" s="90">
        <f>I145</f>
        <v>4300</v>
      </c>
      <c r="J144" s="90">
        <f>J145</f>
        <v>41050</v>
      </c>
      <c r="K144" s="340"/>
    </row>
    <row r="145" spans="1:11" ht="20.100000000000001" hidden="1" customHeight="1" x14ac:dyDescent="0.2">
      <c r="A145" s="189"/>
      <c r="B145" s="189"/>
      <c r="C145" s="189"/>
      <c r="D145" s="189"/>
      <c r="E145" s="189"/>
      <c r="F145" s="189">
        <v>323630</v>
      </c>
      <c r="G145" s="190" t="s">
        <v>203</v>
      </c>
      <c r="H145" s="191">
        <v>36750</v>
      </c>
      <c r="I145" s="191">
        <f>J145-H145</f>
        <v>4300</v>
      </c>
      <c r="J145" s="191">
        <f>36050+5000</f>
        <v>41050</v>
      </c>
      <c r="K145" s="339"/>
    </row>
    <row r="146" spans="1:11" ht="20.100000000000001" hidden="1" customHeight="1" x14ac:dyDescent="0.2">
      <c r="A146" s="85"/>
      <c r="B146" s="85"/>
      <c r="C146" s="85"/>
      <c r="D146" s="85"/>
      <c r="E146" s="85">
        <v>32369</v>
      </c>
      <c r="F146" s="85"/>
      <c r="G146" s="94" t="s">
        <v>206</v>
      </c>
      <c r="H146" s="90">
        <f>H147</f>
        <v>13000</v>
      </c>
      <c r="I146" s="90">
        <f>I147</f>
        <v>0</v>
      </c>
      <c r="J146" s="90">
        <f>J147</f>
        <v>13000</v>
      </c>
      <c r="K146" s="339"/>
    </row>
    <row r="147" spans="1:11" ht="20.100000000000001" hidden="1" customHeight="1" x14ac:dyDescent="0.2">
      <c r="A147" s="189"/>
      <c r="B147" s="189"/>
      <c r="C147" s="189"/>
      <c r="D147" s="189"/>
      <c r="E147" s="85"/>
      <c r="F147" s="85">
        <v>323690</v>
      </c>
      <c r="G147" s="190" t="s">
        <v>206</v>
      </c>
      <c r="H147" s="191">
        <v>13000</v>
      </c>
      <c r="I147" s="191">
        <f>J147-H147</f>
        <v>0</v>
      </c>
      <c r="J147" s="191">
        <v>13000</v>
      </c>
      <c r="K147" s="339"/>
    </row>
    <row r="148" spans="1:11" ht="20.100000000000001" hidden="1" customHeight="1" x14ac:dyDescent="0.2">
      <c r="A148" s="85"/>
      <c r="B148" s="85"/>
      <c r="C148" s="85"/>
      <c r="D148" s="85">
        <v>3237</v>
      </c>
      <c r="E148" s="85"/>
      <c r="F148" s="85"/>
      <c r="G148" s="94" t="s">
        <v>367</v>
      </c>
      <c r="H148" s="90">
        <f>H149+H151+H153</f>
        <v>126295.57</v>
      </c>
      <c r="I148" s="90">
        <f>I149+I151+I153</f>
        <v>-3273.8099999999977</v>
      </c>
      <c r="J148" s="90">
        <f>J149+J151+J153</f>
        <v>123021.76000000001</v>
      </c>
      <c r="K148" s="339"/>
    </row>
    <row r="149" spans="1:11" ht="20.100000000000001" hidden="1" customHeight="1" x14ac:dyDescent="0.2">
      <c r="A149" s="85"/>
      <c r="B149" s="85"/>
      <c r="C149" s="85"/>
      <c r="D149" s="85"/>
      <c r="E149" s="85">
        <v>32372</v>
      </c>
      <c r="F149" s="85"/>
      <c r="G149" s="94" t="s">
        <v>381</v>
      </c>
      <c r="H149" s="90">
        <f>H150</f>
        <v>33575.94</v>
      </c>
      <c r="I149" s="90">
        <f>I150</f>
        <v>5726.1900000000023</v>
      </c>
      <c r="J149" s="90">
        <f>J150</f>
        <v>39302.130000000005</v>
      </c>
      <c r="K149" s="339"/>
    </row>
    <row r="150" spans="1:11" ht="20.100000000000001" hidden="1" customHeight="1" x14ac:dyDescent="0.2">
      <c r="A150" s="189"/>
      <c r="B150" s="189"/>
      <c r="C150" s="189"/>
      <c r="D150" s="189"/>
      <c r="E150" s="189"/>
      <c r="F150" s="189">
        <v>323720</v>
      </c>
      <c r="G150" s="190" t="s">
        <v>381</v>
      </c>
      <c r="H150" s="191">
        <f>33576-0.06</f>
        <v>33575.94</v>
      </c>
      <c r="I150" s="191">
        <f>J150-H150</f>
        <v>5726.1900000000023</v>
      </c>
      <c r="J150" s="191">
        <f>31302.13+8000</f>
        <v>39302.130000000005</v>
      </c>
      <c r="K150" s="339"/>
    </row>
    <row r="151" spans="1:11" ht="20.100000000000001" hidden="1" customHeight="1" x14ac:dyDescent="0.2">
      <c r="A151" s="85"/>
      <c r="B151" s="85"/>
      <c r="C151" s="85"/>
      <c r="D151" s="85"/>
      <c r="E151" s="85">
        <v>32373</v>
      </c>
      <c r="F151" s="85"/>
      <c r="G151" s="94" t="s">
        <v>213</v>
      </c>
      <c r="H151" s="90">
        <f>H152</f>
        <v>4119.63</v>
      </c>
      <c r="I151" s="90">
        <f>I152</f>
        <v>2000</v>
      </c>
      <c r="J151" s="90">
        <f>J152</f>
        <v>6119.63</v>
      </c>
      <c r="K151" s="339"/>
    </row>
    <row r="152" spans="1:11" s="93" customFormat="1" ht="20.100000000000001" hidden="1" customHeight="1" x14ac:dyDescent="0.2">
      <c r="A152" s="189"/>
      <c r="B152" s="189"/>
      <c r="C152" s="189"/>
      <c r="D152" s="189"/>
      <c r="E152" s="189"/>
      <c r="F152" s="189">
        <v>323730</v>
      </c>
      <c r="G152" s="190" t="s">
        <v>213</v>
      </c>
      <c r="H152" s="191">
        <f>3119.63+1000</f>
        <v>4119.63</v>
      </c>
      <c r="I152" s="191">
        <f>J152-H152</f>
        <v>2000</v>
      </c>
      <c r="J152" s="191">
        <f>3119.63+1000+2000</f>
        <v>6119.63</v>
      </c>
      <c r="K152" s="341"/>
    </row>
    <row r="153" spans="1:11" ht="20.100000000000001" hidden="1" customHeight="1" x14ac:dyDescent="0.2">
      <c r="A153" s="85"/>
      <c r="B153" s="85"/>
      <c r="C153" s="85"/>
      <c r="D153" s="85"/>
      <c r="E153" s="85">
        <v>32379</v>
      </c>
      <c r="F153" s="85"/>
      <c r="G153" s="94" t="s">
        <v>216</v>
      </c>
      <c r="H153" s="90">
        <f>H154+H155</f>
        <v>88600</v>
      </c>
      <c r="I153" s="90">
        <f>I154+I155</f>
        <v>-11000</v>
      </c>
      <c r="J153" s="90">
        <f>J154+J155</f>
        <v>77600</v>
      </c>
      <c r="K153" s="339"/>
    </row>
    <row r="154" spans="1:11" ht="20.100000000000001" hidden="1" customHeight="1" x14ac:dyDescent="0.2">
      <c r="A154" s="189"/>
      <c r="B154" s="189"/>
      <c r="C154" s="189"/>
      <c r="D154" s="189"/>
      <c r="E154" s="189"/>
      <c r="F154" s="189">
        <v>323790</v>
      </c>
      <c r="G154" s="190" t="s">
        <v>216</v>
      </c>
      <c r="H154" s="191">
        <f>90600-2000</f>
        <v>88600</v>
      </c>
      <c r="I154" s="191">
        <f t="shared" ref="I154:I155" si="21">J154-H154</f>
        <v>-11000</v>
      </c>
      <c r="J154" s="191">
        <f>90600-2000-1000-2000-8000</f>
        <v>77600</v>
      </c>
      <c r="K154" s="339"/>
    </row>
    <row r="155" spans="1:11" ht="20.100000000000001" hidden="1" customHeight="1" x14ac:dyDescent="0.2">
      <c r="A155" s="189"/>
      <c r="B155" s="189"/>
      <c r="C155" s="189"/>
      <c r="D155" s="189"/>
      <c r="E155" s="189"/>
      <c r="F155" s="85">
        <v>323791</v>
      </c>
      <c r="G155" s="94" t="s">
        <v>216</v>
      </c>
      <c r="H155" s="191">
        <v>0</v>
      </c>
      <c r="I155" s="191">
        <f t="shared" si="21"/>
        <v>0</v>
      </c>
      <c r="J155" s="191">
        <v>0</v>
      </c>
      <c r="K155" s="339"/>
    </row>
    <row r="156" spans="1:11" ht="20.100000000000001" hidden="1" customHeight="1" x14ac:dyDescent="0.2">
      <c r="A156" s="85"/>
      <c r="B156" s="85"/>
      <c r="C156" s="85"/>
      <c r="D156" s="85">
        <v>3238</v>
      </c>
      <c r="E156" s="85"/>
      <c r="F156" s="85"/>
      <c r="G156" s="94" t="s">
        <v>41</v>
      </c>
      <c r="H156" s="90">
        <f t="shared" ref="H156:J157" si="22">H157</f>
        <v>17902.73</v>
      </c>
      <c r="I156" s="90">
        <f t="shared" si="22"/>
        <v>500</v>
      </c>
      <c r="J156" s="90">
        <f t="shared" si="22"/>
        <v>18402.73</v>
      </c>
      <c r="K156" s="339"/>
    </row>
    <row r="157" spans="1:11" ht="20.100000000000001" hidden="1" customHeight="1" x14ac:dyDescent="0.2">
      <c r="A157" s="85"/>
      <c r="B157" s="85"/>
      <c r="C157" s="85"/>
      <c r="D157" s="85"/>
      <c r="E157" s="85">
        <v>32389</v>
      </c>
      <c r="F157" s="85"/>
      <c r="G157" s="94" t="s">
        <v>220</v>
      </c>
      <c r="H157" s="90">
        <f t="shared" si="22"/>
        <v>17902.73</v>
      </c>
      <c r="I157" s="90">
        <f t="shared" si="22"/>
        <v>500</v>
      </c>
      <c r="J157" s="90">
        <f t="shared" si="22"/>
        <v>18402.73</v>
      </c>
      <c r="K157" s="339"/>
    </row>
    <row r="158" spans="1:11" ht="20.100000000000001" hidden="1" customHeight="1" x14ac:dyDescent="0.2">
      <c r="A158" s="189"/>
      <c r="B158" s="189"/>
      <c r="C158" s="189"/>
      <c r="D158" s="189"/>
      <c r="E158" s="189"/>
      <c r="F158" s="189">
        <v>323890</v>
      </c>
      <c r="G158" s="190" t="s">
        <v>220</v>
      </c>
      <c r="H158" s="191">
        <f>16903-0.27+1000</f>
        <v>17902.73</v>
      </c>
      <c r="I158" s="191">
        <f>J158-H158</f>
        <v>500</v>
      </c>
      <c r="J158" s="191">
        <v>18402.73</v>
      </c>
      <c r="K158" s="339"/>
    </row>
    <row r="159" spans="1:11" ht="20.100000000000001" hidden="1" customHeight="1" x14ac:dyDescent="0.2">
      <c r="A159" s="85"/>
      <c r="B159" s="85"/>
      <c r="C159" s="85"/>
      <c r="D159" s="85">
        <v>3239</v>
      </c>
      <c r="E159" s="85"/>
      <c r="F159" s="85"/>
      <c r="G159" s="94" t="s">
        <v>42</v>
      </c>
      <c r="H159" s="90">
        <f>H160+H163+H165+H167</f>
        <v>73056.45</v>
      </c>
      <c r="I159" s="90">
        <f>I160+I163+I165+I167</f>
        <v>1727.6200000000008</v>
      </c>
      <c r="J159" s="90">
        <f>J160+J163+J165+J167</f>
        <v>74784.070000000007</v>
      </c>
      <c r="K159" s="339"/>
    </row>
    <row r="160" spans="1:11" ht="25.5" hidden="1" x14ac:dyDescent="0.2">
      <c r="A160" s="85"/>
      <c r="B160" s="85"/>
      <c r="C160" s="85"/>
      <c r="D160" s="85"/>
      <c r="E160" s="85">
        <v>32391</v>
      </c>
      <c r="F160" s="85"/>
      <c r="G160" s="86" t="s">
        <v>223</v>
      </c>
      <c r="H160" s="90">
        <f t="shared" ref="H160" si="23">H162+H161</f>
        <v>14681.449999999999</v>
      </c>
      <c r="I160" s="90">
        <f t="shared" ref="I160:J160" si="24">I162+I161</f>
        <v>-1272.3799999999992</v>
      </c>
      <c r="J160" s="90">
        <f t="shared" si="24"/>
        <v>13409.07</v>
      </c>
      <c r="K160" s="339"/>
    </row>
    <row r="161" spans="1:11" ht="25.5" hidden="1" x14ac:dyDescent="0.2">
      <c r="A161" s="189"/>
      <c r="B161" s="189"/>
      <c r="C161" s="189"/>
      <c r="D161" s="189"/>
      <c r="E161" s="189"/>
      <c r="F161" s="189">
        <v>323910</v>
      </c>
      <c r="G161" s="262" t="s">
        <v>223</v>
      </c>
      <c r="H161" s="191">
        <f>14681.4+0.05</f>
        <v>14681.449999999999</v>
      </c>
      <c r="I161" s="191">
        <f>J161-H161</f>
        <v>-1272.3799999999992</v>
      </c>
      <c r="J161" s="191">
        <f>11909.07+1000+500</f>
        <v>13409.07</v>
      </c>
      <c r="K161" s="339"/>
    </row>
    <row r="162" spans="1:11" ht="20.25" hidden="1" customHeight="1" x14ac:dyDescent="0.2">
      <c r="A162" s="189"/>
      <c r="B162" s="189"/>
      <c r="C162" s="189"/>
      <c r="D162" s="189"/>
      <c r="E162" s="189"/>
      <c r="F162" s="259">
        <v>323911</v>
      </c>
      <c r="G162" s="86" t="s">
        <v>455</v>
      </c>
      <c r="H162" s="191">
        <v>0</v>
      </c>
      <c r="I162" s="191">
        <f>J162-H162</f>
        <v>0</v>
      </c>
      <c r="J162" s="191">
        <v>0</v>
      </c>
      <c r="K162" s="339"/>
    </row>
    <row r="163" spans="1:11" ht="20.100000000000001" hidden="1" customHeight="1" x14ac:dyDescent="0.2">
      <c r="A163" s="85"/>
      <c r="B163" s="85"/>
      <c r="C163" s="85"/>
      <c r="D163" s="85"/>
      <c r="E163" s="85">
        <v>32394</v>
      </c>
      <c r="F163" s="85"/>
      <c r="G163" s="94" t="s">
        <v>226</v>
      </c>
      <c r="H163" s="90">
        <f>H164</f>
        <v>2425</v>
      </c>
      <c r="I163" s="90">
        <f>I164</f>
        <v>0</v>
      </c>
      <c r="J163" s="90">
        <f>J164</f>
        <v>2425</v>
      </c>
      <c r="K163" s="339"/>
    </row>
    <row r="164" spans="1:11" ht="20.100000000000001" hidden="1" customHeight="1" x14ac:dyDescent="0.2">
      <c r="A164" s="189"/>
      <c r="B164" s="189"/>
      <c r="C164" s="189"/>
      <c r="D164" s="189"/>
      <c r="E164" s="189"/>
      <c r="F164" s="189">
        <v>323940</v>
      </c>
      <c r="G164" s="190" t="s">
        <v>226</v>
      </c>
      <c r="H164" s="191">
        <v>2425</v>
      </c>
      <c r="I164" s="191">
        <f>J164-H164</f>
        <v>0</v>
      </c>
      <c r="J164" s="191">
        <v>2425</v>
      </c>
      <c r="K164" s="339"/>
    </row>
    <row r="165" spans="1:11" ht="20.100000000000001" hidden="1" customHeight="1" x14ac:dyDescent="0.2">
      <c r="A165" s="85"/>
      <c r="B165" s="85"/>
      <c r="C165" s="85"/>
      <c r="D165" s="85"/>
      <c r="E165" s="85">
        <v>32395</v>
      </c>
      <c r="F165" s="85"/>
      <c r="G165" s="94" t="s">
        <v>229</v>
      </c>
      <c r="H165" s="90">
        <f>H166</f>
        <v>16700</v>
      </c>
      <c r="I165" s="90">
        <f>I166</f>
        <v>1000</v>
      </c>
      <c r="J165" s="90">
        <f>J166</f>
        <v>17700</v>
      </c>
      <c r="K165" s="339"/>
    </row>
    <row r="166" spans="1:11" ht="20.100000000000001" hidden="1" customHeight="1" x14ac:dyDescent="0.2">
      <c r="A166" s="189"/>
      <c r="B166" s="189"/>
      <c r="C166" s="189"/>
      <c r="D166" s="189"/>
      <c r="E166" s="189"/>
      <c r="F166" s="189">
        <v>323950</v>
      </c>
      <c r="G166" s="190" t="s">
        <v>229</v>
      </c>
      <c r="H166" s="191">
        <v>16700</v>
      </c>
      <c r="I166" s="191">
        <f>J166-H166</f>
        <v>1000</v>
      </c>
      <c r="J166" s="191">
        <v>17700</v>
      </c>
      <c r="K166" s="339"/>
    </row>
    <row r="167" spans="1:11" ht="20.100000000000001" hidden="1" customHeight="1" x14ac:dyDescent="0.2">
      <c r="A167" s="85"/>
      <c r="B167" s="85"/>
      <c r="C167" s="85"/>
      <c r="D167" s="85"/>
      <c r="E167" s="85">
        <v>32399</v>
      </c>
      <c r="F167" s="85"/>
      <c r="G167" s="94" t="s">
        <v>232</v>
      </c>
      <c r="H167" s="90">
        <f>H168+H169+H170+H171+H172</f>
        <v>39250</v>
      </c>
      <c r="I167" s="90">
        <f>I168+I169+I170+I171+I172</f>
        <v>2000</v>
      </c>
      <c r="J167" s="90">
        <f>J168+J169+J170+J171+J172</f>
        <v>41250</v>
      </c>
      <c r="K167" s="339"/>
    </row>
    <row r="168" spans="1:11" ht="25.5" hidden="1" x14ac:dyDescent="0.2">
      <c r="A168" s="189"/>
      <c r="B168" s="189"/>
      <c r="C168" s="189"/>
      <c r="D168" s="189"/>
      <c r="E168" s="189"/>
      <c r="F168" s="189">
        <v>323990</v>
      </c>
      <c r="G168" s="262" t="s">
        <v>234</v>
      </c>
      <c r="H168" s="191">
        <v>13000</v>
      </c>
      <c r="I168" s="191">
        <f t="shared" ref="I168:I172" si="25">J168-H168</f>
        <v>0</v>
      </c>
      <c r="J168" s="191">
        <v>13000</v>
      </c>
      <c r="K168" s="339"/>
    </row>
    <row r="169" spans="1:11" ht="25.5" hidden="1" x14ac:dyDescent="0.2">
      <c r="A169" s="189"/>
      <c r="B169" s="189"/>
      <c r="C169" s="189"/>
      <c r="D169" s="189"/>
      <c r="E169" s="189"/>
      <c r="F169" s="189">
        <v>323991</v>
      </c>
      <c r="G169" s="262" t="s">
        <v>236</v>
      </c>
      <c r="H169" s="191">
        <v>6800</v>
      </c>
      <c r="I169" s="191">
        <f t="shared" si="25"/>
        <v>0</v>
      </c>
      <c r="J169" s="191">
        <v>6800</v>
      </c>
      <c r="K169" s="339"/>
    </row>
    <row r="170" spans="1:11" ht="25.5" hidden="1" x14ac:dyDescent="0.2">
      <c r="A170" s="189"/>
      <c r="B170" s="189"/>
      <c r="C170" s="189"/>
      <c r="D170" s="189"/>
      <c r="E170" s="189"/>
      <c r="F170" s="189">
        <v>323992</v>
      </c>
      <c r="G170" s="262" t="s">
        <v>238</v>
      </c>
      <c r="H170" s="191">
        <v>6700</v>
      </c>
      <c r="I170" s="191">
        <f t="shared" si="25"/>
        <v>2000</v>
      </c>
      <c r="J170" s="191">
        <v>8700</v>
      </c>
      <c r="K170" s="339"/>
    </row>
    <row r="171" spans="1:11" ht="25.5" hidden="1" x14ac:dyDescent="0.2">
      <c r="A171" s="189"/>
      <c r="B171" s="189"/>
      <c r="C171" s="189"/>
      <c r="D171" s="189"/>
      <c r="E171" s="189"/>
      <c r="F171" s="189">
        <v>323993</v>
      </c>
      <c r="G171" s="262" t="s">
        <v>240</v>
      </c>
      <c r="H171" s="191">
        <v>10700</v>
      </c>
      <c r="I171" s="191">
        <f t="shared" si="25"/>
        <v>0</v>
      </c>
      <c r="J171" s="191">
        <v>10700</v>
      </c>
      <c r="K171" s="339"/>
    </row>
    <row r="172" spans="1:11" ht="20.100000000000001" hidden="1" customHeight="1" x14ac:dyDescent="0.2">
      <c r="A172" s="189"/>
      <c r="B172" s="189"/>
      <c r="C172" s="189"/>
      <c r="D172" s="189"/>
      <c r="E172" s="189"/>
      <c r="F172" s="189">
        <v>323994</v>
      </c>
      <c r="G172" s="262" t="s">
        <v>242</v>
      </c>
      <c r="H172" s="191">
        <v>2050</v>
      </c>
      <c r="I172" s="191">
        <f t="shared" si="25"/>
        <v>0</v>
      </c>
      <c r="J172" s="191">
        <v>2050</v>
      </c>
      <c r="K172" s="339"/>
    </row>
    <row r="173" spans="1:11" s="75" customFormat="1" ht="27" hidden="1" customHeight="1" x14ac:dyDescent="0.2">
      <c r="A173" s="147"/>
      <c r="B173" s="87"/>
      <c r="C173" s="87">
        <v>324</v>
      </c>
      <c r="D173" s="87"/>
      <c r="E173" s="87"/>
      <c r="F173" s="87"/>
      <c r="G173" s="160" t="s">
        <v>43</v>
      </c>
      <c r="H173" s="206">
        <f t="shared" ref="H173:J175" si="26">H174</f>
        <v>0</v>
      </c>
      <c r="I173" s="206">
        <f t="shared" si="26"/>
        <v>0</v>
      </c>
      <c r="J173" s="206">
        <f t="shared" si="26"/>
        <v>0</v>
      </c>
      <c r="K173" s="342"/>
    </row>
    <row r="174" spans="1:11" s="96" customFormat="1" ht="27" hidden="1" customHeight="1" x14ac:dyDescent="0.2">
      <c r="A174" s="95"/>
      <c r="B174" s="95"/>
      <c r="C174" s="85"/>
      <c r="D174" s="85">
        <v>3241</v>
      </c>
      <c r="E174" s="85"/>
      <c r="F174" s="85"/>
      <c r="G174" s="86" t="s">
        <v>44</v>
      </c>
      <c r="H174" s="90">
        <f t="shared" si="26"/>
        <v>0</v>
      </c>
      <c r="I174" s="90">
        <f t="shared" si="26"/>
        <v>0</v>
      </c>
      <c r="J174" s="90">
        <f t="shared" si="26"/>
        <v>0</v>
      </c>
      <c r="K174" s="340"/>
    </row>
    <row r="175" spans="1:11" s="96" customFormat="1" ht="27" hidden="1" customHeight="1" x14ac:dyDescent="0.2">
      <c r="A175" s="95"/>
      <c r="B175" s="95"/>
      <c r="C175" s="85"/>
      <c r="D175" s="85"/>
      <c r="E175" s="85">
        <v>32412</v>
      </c>
      <c r="F175" s="85"/>
      <c r="G175" s="86" t="s">
        <v>244</v>
      </c>
      <c r="H175" s="90">
        <f t="shared" si="26"/>
        <v>0</v>
      </c>
      <c r="I175" s="90">
        <f t="shared" si="26"/>
        <v>0</v>
      </c>
      <c r="J175" s="90">
        <f t="shared" si="26"/>
        <v>0</v>
      </c>
      <c r="K175" s="340"/>
    </row>
    <row r="176" spans="1:11" s="96" customFormat="1" ht="27" hidden="1" customHeight="1" x14ac:dyDescent="0.2">
      <c r="A176" s="192"/>
      <c r="B176" s="192"/>
      <c r="C176" s="189"/>
      <c r="D176" s="189"/>
      <c r="E176" s="189"/>
      <c r="F176" s="85">
        <v>324120</v>
      </c>
      <c r="G176" s="86" t="s">
        <v>429</v>
      </c>
      <c r="H176" s="191">
        <v>0</v>
      </c>
      <c r="I176" s="191">
        <f>J176-H176</f>
        <v>0</v>
      </c>
      <c r="J176" s="191">
        <v>0</v>
      </c>
      <c r="K176" s="340"/>
    </row>
    <row r="177" spans="1:11" s="75" customFormat="1" ht="30" hidden="1" customHeight="1" x14ac:dyDescent="0.2">
      <c r="A177" s="147"/>
      <c r="B177" s="87"/>
      <c r="C177" s="87">
        <v>329</v>
      </c>
      <c r="D177" s="87"/>
      <c r="E177" s="87"/>
      <c r="F177" s="87"/>
      <c r="G177" s="162" t="s">
        <v>45</v>
      </c>
      <c r="H177" s="206">
        <f t="shared" ref="H177" si="27">H178+H181+H188+H191+H194+H205+H202</f>
        <v>53931.58</v>
      </c>
      <c r="I177" s="206">
        <f t="shared" ref="I177:J177" si="28">I178+I181+I188+I191+I194+I205+I202</f>
        <v>11689.480000000001</v>
      </c>
      <c r="J177" s="206">
        <f t="shared" si="28"/>
        <v>65621.06</v>
      </c>
      <c r="K177" s="342"/>
    </row>
    <row r="178" spans="1:11" ht="27.75" hidden="1" customHeight="1" x14ac:dyDescent="0.2">
      <c r="A178" s="85"/>
      <c r="B178" s="85"/>
      <c r="C178" s="85"/>
      <c r="D178" s="85">
        <v>3291</v>
      </c>
      <c r="E178" s="85"/>
      <c r="F178" s="85"/>
      <c r="G178" s="86" t="s">
        <v>46</v>
      </c>
      <c r="H178" s="90">
        <f t="shared" ref="H178:J179" si="29">H179</f>
        <v>10100</v>
      </c>
      <c r="I178" s="90">
        <f t="shared" si="29"/>
        <v>500</v>
      </c>
      <c r="J178" s="90">
        <f t="shared" si="29"/>
        <v>10600</v>
      </c>
      <c r="K178" s="339"/>
    </row>
    <row r="179" spans="1:11" ht="27.75" hidden="1" customHeight="1" x14ac:dyDescent="0.2">
      <c r="A179" s="85"/>
      <c r="B179" s="85"/>
      <c r="C179" s="85"/>
      <c r="D179" s="85"/>
      <c r="E179" s="85">
        <v>32911</v>
      </c>
      <c r="F179" s="85"/>
      <c r="G179" s="86" t="s">
        <v>249</v>
      </c>
      <c r="H179" s="90">
        <f t="shared" si="29"/>
        <v>10100</v>
      </c>
      <c r="I179" s="90">
        <f t="shared" si="29"/>
        <v>500</v>
      </c>
      <c r="J179" s="90">
        <f t="shared" si="29"/>
        <v>10600</v>
      </c>
      <c r="K179" s="339"/>
    </row>
    <row r="180" spans="1:11" ht="27.75" hidden="1" customHeight="1" x14ac:dyDescent="0.2">
      <c r="A180" s="189"/>
      <c r="B180" s="189"/>
      <c r="C180" s="189"/>
      <c r="D180" s="189"/>
      <c r="E180" s="189"/>
      <c r="F180" s="189">
        <v>329110</v>
      </c>
      <c r="G180" s="262" t="s">
        <v>249</v>
      </c>
      <c r="H180" s="191">
        <v>10100</v>
      </c>
      <c r="I180" s="191">
        <f>J180-H180</f>
        <v>500</v>
      </c>
      <c r="J180" s="191">
        <v>10600</v>
      </c>
      <c r="K180" s="339"/>
    </row>
    <row r="181" spans="1:11" ht="20.100000000000001" hidden="1" customHeight="1" x14ac:dyDescent="0.2">
      <c r="A181" s="85"/>
      <c r="B181" s="85"/>
      <c r="C181" s="85"/>
      <c r="D181" s="85">
        <v>3292</v>
      </c>
      <c r="E181" s="85"/>
      <c r="F181" s="85"/>
      <c r="G181" s="86" t="s">
        <v>47</v>
      </c>
      <c r="H181" s="90">
        <f>H182+H184+H186</f>
        <v>10730</v>
      </c>
      <c r="I181" s="90">
        <f>I182+I184+I186</f>
        <v>500</v>
      </c>
      <c r="J181" s="90">
        <f>J182+J184+J186</f>
        <v>11230</v>
      </c>
      <c r="K181" s="339"/>
    </row>
    <row r="182" spans="1:11" ht="20.100000000000001" hidden="1" customHeight="1" x14ac:dyDescent="0.2">
      <c r="A182" s="85"/>
      <c r="B182" s="85"/>
      <c r="C182" s="85"/>
      <c r="D182" s="85"/>
      <c r="E182" s="85">
        <v>32921</v>
      </c>
      <c r="F182" s="85"/>
      <c r="G182" s="86" t="s">
        <v>252</v>
      </c>
      <c r="H182" s="90">
        <f>H183</f>
        <v>2830</v>
      </c>
      <c r="I182" s="90">
        <f>I183</f>
        <v>500</v>
      </c>
      <c r="J182" s="90">
        <f>J183</f>
        <v>3330</v>
      </c>
      <c r="K182" s="339"/>
    </row>
    <row r="183" spans="1:11" ht="20.100000000000001" hidden="1" customHeight="1" x14ac:dyDescent="0.2">
      <c r="A183" s="189"/>
      <c r="B183" s="189"/>
      <c r="C183" s="189"/>
      <c r="D183" s="189"/>
      <c r="E183" s="189"/>
      <c r="F183" s="189">
        <v>329210</v>
      </c>
      <c r="G183" s="262" t="s">
        <v>252</v>
      </c>
      <c r="H183" s="191">
        <f>2330+500</f>
        <v>2830</v>
      </c>
      <c r="I183" s="191">
        <f>J183-H183</f>
        <v>500</v>
      </c>
      <c r="J183" s="191">
        <f>2330+500+500</f>
        <v>3330</v>
      </c>
      <c r="K183" s="339"/>
    </row>
    <row r="184" spans="1:11" ht="20.100000000000001" hidden="1" customHeight="1" x14ac:dyDescent="0.2">
      <c r="A184" s="85"/>
      <c r="B184" s="85"/>
      <c r="C184" s="85"/>
      <c r="D184" s="85"/>
      <c r="E184" s="85">
        <v>32922</v>
      </c>
      <c r="F184" s="85"/>
      <c r="G184" s="86" t="s">
        <v>373</v>
      </c>
      <c r="H184" s="90">
        <f>H185</f>
        <v>2400</v>
      </c>
      <c r="I184" s="90">
        <f>I185</f>
        <v>0</v>
      </c>
      <c r="J184" s="90">
        <f>J185</f>
        <v>2400</v>
      </c>
      <c r="K184" s="339"/>
    </row>
    <row r="185" spans="1:11" ht="20.100000000000001" hidden="1" customHeight="1" x14ac:dyDescent="0.2">
      <c r="A185" s="189"/>
      <c r="B185" s="189"/>
      <c r="C185" s="189"/>
      <c r="D185" s="189"/>
      <c r="E185" s="189"/>
      <c r="F185" s="189">
        <v>329220</v>
      </c>
      <c r="G185" s="262" t="s">
        <v>373</v>
      </c>
      <c r="H185" s="191">
        <v>2400</v>
      </c>
      <c r="I185" s="191">
        <f>J185-H185</f>
        <v>0</v>
      </c>
      <c r="J185" s="191">
        <v>2400</v>
      </c>
      <c r="K185" s="339"/>
    </row>
    <row r="186" spans="1:11" ht="20.100000000000001" hidden="1" customHeight="1" x14ac:dyDescent="0.2">
      <c r="A186" s="85"/>
      <c r="B186" s="85"/>
      <c r="C186" s="85"/>
      <c r="D186" s="85"/>
      <c r="E186" s="85">
        <v>32923</v>
      </c>
      <c r="F186" s="85"/>
      <c r="G186" s="86" t="s">
        <v>255</v>
      </c>
      <c r="H186" s="90">
        <f>H187</f>
        <v>5500</v>
      </c>
      <c r="I186" s="90">
        <f>I187</f>
        <v>0</v>
      </c>
      <c r="J186" s="90">
        <f>J187</f>
        <v>5500</v>
      </c>
      <c r="K186" s="339"/>
    </row>
    <row r="187" spans="1:11" ht="20.100000000000001" hidden="1" customHeight="1" x14ac:dyDescent="0.2">
      <c r="A187" s="189"/>
      <c r="B187" s="189"/>
      <c r="C187" s="189"/>
      <c r="D187" s="189"/>
      <c r="E187" s="189"/>
      <c r="F187" s="189">
        <v>329230</v>
      </c>
      <c r="G187" s="262" t="s">
        <v>255</v>
      </c>
      <c r="H187" s="191">
        <f>4000+1500</f>
        <v>5500</v>
      </c>
      <c r="I187" s="191">
        <f>J187-H187</f>
        <v>0</v>
      </c>
      <c r="J187" s="191">
        <f>4000+1500</f>
        <v>5500</v>
      </c>
      <c r="K187" s="339"/>
    </row>
    <row r="188" spans="1:11" ht="20.100000000000001" hidden="1" customHeight="1" x14ac:dyDescent="0.2">
      <c r="A188" s="85"/>
      <c r="B188" s="85"/>
      <c r="C188" s="85"/>
      <c r="D188" s="85">
        <v>3293</v>
      </c>
      <c r="E188" s="85"/>
      <c r="F188" s="85"/>
      <c r="G188" s="86" t="s">
        <v>48</v>
      </c>
      <c r="H188" s="90">
        <f t="shared" ref="H188:J189" si="30">H189</f>
        <v>13601.58</v>
      </c>
      <c r="I188" s="90">
        <f t="shared" si="30"/>
        <v>5289.4800000000014</v>
      </c>
      <c r="J188" s="90">
        <f t="shared" si="30"/>
        <v>18891.060000000001</v>
      </c>
      <c r="K188" s="339"/>
    </row>
    <row r="189" spans="1:11" ht="20.100000000000001" hidden="1" customHeight="1" x14ac:dyDescent="0.2">
      <c r="A189" s="85"/>
      <c r="B189" s="85"/>
      <c r="C189" s="85"/>
      <c r="D189" s="85"/>
      <c r="E189" s="85">
        <v>32931</v>
      </c>
      <c r="F189" s="85"/>
      <c r="G189" s="86" t="s">
        <v>48</v>
      </c>
      <c r="H189" s="90">
        <f t="shared" si="30"/>
        <v>13601.58</v>
      </c>
      <c r="I189" s="90">
        <f t="shared" si="30"/>
        <v>5289.4800000000014</v>
      </c>
      <c r="J189" s="90">
        <f t="shared" si="30"/>
        <v>18891.060000000001</v>
      </c>
      <c r="K189" s="339"/>
    </row>
    <row r="190" spans="1:11" ht="20.100000000000001" hidden="1" customHeight="1" x14ac:dyDescent="0.2">
      <c r="A190" s="189"/>
      <c r="B190" s="189"/>
      <c r="C190" s="189"/>
      <c r="D190" s="189"/>
      <c r="E190" s="189"/>
      <c r="F190" s="189">
        <v>329310</v>
      </c>
      <c r="G190" s="262" t="s">
        <v>48</v>
      </c>
      <c r="H190" s="191">
        <f>11601.58+2000</f>
        <v>13601.58</v>
      </c>
      <c r="I190" s="191">
        <f>J190-H190</f>
        <v>5289.4800000000014</v>
      </c>
      <c r="J190" s="191">
        <v>18891.060000000001</v>
      </c>
      <c r="K190" s="339"/>
    </row>
    <row r="191" spans="1:11" ht="20.100000000000001" hidden="1" customHeight="1" x14ac:dyDescent="0.2">
      <c r="A191" s="85"/>
      <c r="B191" s="85"/>
      <c r="C191" s="85"/>
      <c r="D191" s="85">
        <v>3294</v>
      </c>
      <c r="E191" s="85"/>
      <c r="F191" s="85"/>
      <c r="G191" s="86" t="s">
        <v>49</v>
      </c>
      <c r="H191" s="90">
        <f t="shared" ref="H191:J192" si="31">H192</f>
        <v>1800</v>
      </c>
      <c r="I191" s="90">
        <f t="shared" si="31"/>
        <v>0</v>
      </c>
      <c r="J191" s="90">
        <f t="shared" si="31"/>
        <v>1800</v>
      </c>
      <c r="K191" s="339"/>
    </row>
    <row r="192" spans="1:11" ht="20.100000000000001" hidden="1" customHeight="1" x14ac:dyDescent="0.2">
      <c r="A192" s="85"/>
      <c r="B192" s="85"/>
      <c r="C192" s="85"/>
      <c r="D192" s="85"/>
      <c r="E192" s="85">
        <v>32941</v>
      </c>
      <c r="F192" s="85"/>
      <c r="G192" s="86" t="s">
        <v>260</v>
      </c>
      <c r="H192" s="90">
        <f t="shared" si="31"/>
        <v>1800</v>
      </c>
      <c r="I192" s="90">
        <f t="shared" si="31"/>
        <v>0</v>
      </c>
      <c r="J192" s="90">
        <f t="shared" si="31"/>
        <v>1800</v>
      </c>
      <c r="K192" s="339"/>
    </row>
    <row r="193" spans="1:11" ht="20.100000000000001" hidden="1" customHeight="1" x14ac:dyDescent="0.2">
      <c r="A193" s="189"/>
      <c r="B193" s="189"/>
      <c r="C193" s="189"/>
      <c r="D193" s="189"/>
      <c r="E193" s="189"/>
      <c r="F193" s="189">
        <v>329410</v>
      </c>
      <c r="G193" s="262" t="s">
        <v>260</v>
      </c>
      <c r="H193" s="191">
        <v>1800</v>
      </c>
      <c r="I193" s="191">
        <f>J193-H193</f>
        <v>0</v>
      </c>
      <c r="J193" s="191">
        <v>1800</v>
      </c>
      <c r="K193" s="339"/>
    </row>
    <row r="194" spans="1:11" ht="18.75" hidden="1" customHeight="1" x14ac:dyDescent="0.2">
      <c r="A194" s="85"/>
      <c r="B194" s="85"/>
      <c r="C194" s="85"/>
      <c r="D194" s="85">
        <v>3295</v>
      </c>
      <c r="E194" s="85"/>
      <c r="F194" s="85"/>
      <c r="G194" s="86" t="s">
        <v>50</v>
      </c>
      <c r="H194" s="90">
        <f>H197+H199+H195</f>
        <v>10300</v>
      </c>
      <c r="I194" s="90">
        <f>I197+I199+I195</f>
        <v>1800</v>
      </c>
      <c r="J194" s="90">
        <f>J197+J199+J195</f>
        <v>12100</v>
      </c>
      <c r="K194" s="339"/>
    </row>
    <row r="195" spans="1:11" ht="18.75" hidden="1" customHeight="1" x14ac:dyDescent="0.2">
      <c r="A195" s="85"/>
      <c r="B195" s="85"/>
      <c r="C195" s="85"/>
      <c r="D195" s="85"/>
      <c r="E195" s="85">
        <v>32952</v>
      </c>
      <c r="F195" s="85"/>
      <c r="G195" s="86" t="s">
        <v>499</v>
      </c>
      <c r="H195" s="90">
        <f t="shared" ref="H195:J195" si="32">H196</f>
        <v>1200</v>
      </c>
      <c r="I195" s="90">
        <f t="shared" si="32"/>
        <v>1800</v>
      </c>
      <c r="J195" s="90">
        <f t="shared" si="32"/>
        <v>3000</v>
      </c>
      <c r="K195" s="339"/>
    </row>
    <row r="196" spans="1:11" ht="23.25" hidden="1" customHeight="1" x14ac:dyDescent="0.2">
      <c r="A196" s="189"/>
      <c r="B196" s="189"/>
      <c r="C196" s="189"/>
      <c r="D196" s="189"/>
      <c r="E196" s="189"/>
      <c r="F196" s="189">
        <v>329520</v>
      </c>
      <c r="G196" s="262" t="s">
        <v>499</v>
      </c>
      <c r="H196" s="191">
        <f>700+500</f>
        <v>1200</v>
      </c>
      <c r="I196" s="191">
        <f>J196-H196</f>
        <v>1800</v>
      </c>
      <c r="J196" s="191">
        <v>3000</v>
      </c>
      <c r="K196" s="339"/>
    </row>
    <row r="197" spans="1:11" ht="25.5" hidden="1" x14ac:dyDescent="0.2">
      <c r="A197" s="85"/>
      <c r="B197" s="85"/>
      <c r="C197" s="85"/>
      <c r="D197" s="85"/>
      <c r="E197" s="85">
        <v>32955</v>
      </c>
      <c r="F197" s="85"/>
      <c r="G197" s="86" t="s">
        <v>263</v>
      </c>
      <c r="H197" s="90">
        <f>H198</f>
        <v>4000</v>
      </c>
      <c r="I197" s="90">
        <f>I198</f>
        <v>0</v>
      </c>
      <c r="J197" s="90">
        <f>J198</f>
        <v>4000</v>
      </c>
      <c r="K197" s="339"/>
    </row>
    <row r="198" spans="1:11" ht="25.5" hidden="1" x14ac:dyDescent="0.2">
      <c r="A198" s="189"/>
      <c r="B198" s="189"/>
      <c r="C198" s="189"/>
      <c r="D198" s="189"/>
      <c r="E198" s="189"/>
      <c r="F198" s="189">
        <v>329550</v>
      </c>
      <c r="G198" s="262" t="s">
        <v>263</v>
      </c>
      <c r="H198" s="191">
        <v>4000</v>
      </c>
      <c r="I198" s="191">
        <f>J198-H198</f>
        <v>0</v>
      </c>
      <c r="J198" s="191">
        <v>4000</v>
      </c>
      <c r="K198" s="339"/>
    </row>
    <row r="199" spans="1:11" ht="23.25" hidden="1" customHeight="1" x14ac:dyDescent="0.2">
      <c r="A199" s="85"/>
      <c r="B199" s="85"/>
      <c r="C199" s="85"/>
      <c r="D199" s="85"/>
      <c r="E199" s="85">
        <v>32959</v>
      </c>
      <c r="F199" s="85"/>
      <c r="G199" s="86" t="s">
        <v>266</v>
      </c>
      <c r="H199" s="90">
        <f>H200+H201</f>
        <v>5100</v>
      </c>
      <c r="I199" s="90">
        <f>I200+I201</f>
        <v>0</v>
      </c>
      <c r="J199" s="90">
        <f>J200+J201</f>
        <v>5100</v>
      </c>
      <c r="K199" s="339"/>
    </row>
    <row r="200" spans="1:11" ht="20.100000000000001" hidden="1" customHeight="1" x14ac:dyDescent="0.2">
      <c r="A200" s="189"/>
      <c r="B200" s="189"/>
      <c r="C200" s="189"/>
      <c r="D200" s="189"/>
      <c r="E200" s="189"/>
      <c r="F200" s="189">
        <v>329590</v>
      </c>
      <c r="G200" s="262" t="s">
        <v>268</v>
      </c>
      <c r="H200" s="191">
        <v>3200</v>
      </c>
      <c r="I200" s="191">
        <f t="shared" ref="I200:I201" si="33">J200-H200</f>
        <v>0</v>
      </c>
      <c r="J200" s="191">
        <v>3200</v>
      </c>
      <c r="K200" s="339"/>
    </row>
    <row r="201" spans="1:11" ht="21.75" hidden="1" customHeight="1" x14ac:dyDescent="0.2">
      <c r="A201" s="189"/>
      <c r="B201" s="189"/>
      <c r="C201" s="189"/>
      <c r="D201" s="189"/>
      <c r="E201" s="189"/>
      <c r="F201" s="189">
        <v>329591</v>
      </c>
      <c r="G201" s="262" t="s">
        <v>270</v>
      </c>
      <c r="H201" s="191">
        <v>1900</v>
      </c>
      <c r="I201" s="191">
        <f t="shared" si="33"/>
        <v>0</v>
      </c>
      <c r="J201" s="191">
        <v>1900</v>
      </c>
      <c r="K201" s="339"/>
    </row>
    <row r="202" spans="1:11" ht="21.75" hidden="1" customHeight="1" x14ac:dyDescent="0.2">
      <c r="A202" s="189"/>
      <c r="B202" s="189"/>
      <c r="C202" s="189"/>
      <c r="D202" s="85">
        <v>3296</v>
      </c>
      <c r="E202" s="85"/>
      <c r="F202" s="85"/>
      <c r="G202" s="86" t="s">
        <v>271</v>
      </c>
      <c r="H202" s="90">
        <f t="shared" ref="H202:J202" si="34">H203</f>
        <v>400</v>
      </c>
      <c r="I202" s="90">
        <f t="shared" si="34"/>
        <v>3600</v>
      </c>
      <c r="J202" s="90">
        <f t="shared" si="34"/>
        <v>4000</v>
      </c>
      <c r="K202" s="339"/>
    </row>
    <row r="203" spans="1:11" ht="21.75" hidden="1" customHeight="1" x14ac:dyDescent="0.2">
      <c r="A203" s="189"/>
      <c r="B203" s="189"/>
      <c r="C203" s="189"/>
      <c r="D203" s="85"/>
      <c r="E203" s="85">
        <v>32961</v>
      </c>
      <c r="F203" s="85"/>
      <c r="G203" s="86" t="s">
        <v>271</v>
      </c>
      <c r="H203" s="90">
        <f t="shared" ref="H203:J203" si="35">H204</f>
        <v>400</v>
      </c>
      <c r="I203" s="90">
        <f t="shared" si="35"/>
        <v>3600</v>
      </c>
      <c r="J203" s="90">
        <f t="shared" si="35"/>
        <v>4000</v>
      </c>
      <c r="K203" s="339"/>
    </row>
    <row r="204" spans="1:11" ht="21.75" hidden="1" customHeight="1" x14ac:dyDescent="0.2">
      <c r="A204" s="189"/>
      <c r="B204" s="189"/>
      <c r="C204" s="189"/>
      <c r="D204" s="189"/>
      <c r="E204" s="189"/>
      <c r="F204" s="189">
        <v>329610</v>
      </c>
      <c r="G204" s="262" t="s">
        <v>271</v>
      </c>
      <c r="H204" s="191">
        <v>400</v>
      </c>
      <c r="I204" s="191">
        <f>J204-H204</f>
        <v>3600</v>
      </c>
      <c r="J204" s="191">
        <v>4000</v>
      </c>
      <c r="K204" s="339"/>
    </row>
    <row r="205" spans="1:11" ht="20.100000000000001" hidden="1" customHeight="1" x14ac:dyDescent="0.2">
      <c r="A205" s="85"/>
      <c r="B205" s="85"/>
      <c r="C205" s="85"/>
      <c r="D205" s="85">
        <v>3299</v>
      </c>
      <c r="E205" s="85"/>
      <c r="F205" s="85"/>
      <c r="G205" s="86" t="s">
        <v>45</v>
      </c>
      <c r="H205" s="90">
        <f t="shared" ref="H205:J206" si="36">H206</f>
        <v>7000</v>
      </c>
      <c r="I205" s="90">
        <f t="shared" si="36"/>
        <v>0</v>
      </c>
      <c r="J205" s="90">
        <f t="shared" si="36"/>
        <v>7000</v>
      </c>
      <c r="K205" s="339"/>
    </row>
    <row r="206" spans="1:11" ht="20.100000000000001" hidden="1" customHeight="1" x14ac:dyDescent="0.2">
      <c r="A206" s="85"/>
      <c r="B206" s="85"/>
      <c r="C206" s="85"/>
      <c r="D206" s="85"/>
      <c r="E206" s="85">
        <v>32999</v>
      </c>
      <c r="F206" s="85"/>
      <c r="G206" s="86" t="s">
        <v>45</v>
      </c>
      <c r="H206" s="90">
        <f t="shared" si="36"/>
        <v>7000</v>
      </c>
      <c r="I206" s="90">
        <f t="shared" si="36"/>
        <v>0</v>
      </c>
      <c r="J206" s="90">
        <f t="shared" si="36"/>
        <v>7000</v>
      </c>
      <c r="K206" s="339"/>
    </row>
    <row r="207" spans="1:11" ht="20.100000000000001" hidden="1" customHeight="1" x14ac:dyDescent="0.2">
      <c r="A207" s="189"/>
      <c r="B207" s="189"/>
      <c r="C207" s="189"/>
      <c r="D207" s="189"/>
      <c r="E207" s="189"/>
      <c r="F207" s="189">
        <v>329990</v>
      </c>
      <c r="G207" s="262" t="s">
        <v>45</v>
      </c>
      <c r="H207" s="191">
        <f>4000+3000</f>
        <v>7000</v>
      </c>
      <c r="I207" s="191">
        <f>J207-H207</f>
        <v>0</v>
      </c>
      <c r="J207" s="191">
        <f>4000+3000</f>
        <v>7000</v>
      </c>
      <c r="K207" s="339"/>
    </row>
    <row r="208" spans="1:11" ht="20.100000000000001" customHeight="1" x14ac:dyDescent="0.2">
      <c r="A208" s="85"/>
      <c r="B208" s="87">
        <v>34</v>
      </c>
      <c r="C208" s="85"/>
      <c r="D208" s="85"/>
      <c r="E208" s="85"/>
      <c r="F208" s="85"/>
      <c r="G208" s="88" t="s">
        <v>51</v>
      </c>
      <c r="H208" s="206">
        <f t="shared" ref="H208:J208" si="37">H209</f>
        <v>2900</v>
      </c>
      <c r="I208" s="206">
        <f t="shared" si="37"/>
        <v>500</v>
      </c>
      <c r="J208" s="206">
        <f t="shared" si="37"/>
        <v>3400</v>
      </c>
      <c r="K208" s="339"/>
    </row>
    <row r="209" spans="1:11" s="75" customFormat="1" ht="20.100000000000001" hidden="1" customHeight="1" x14ac:dyDescent="0.2">
      <c r="A209" s="147"/>
      <c r="B209" s="87"/>
      <c r="C209" s="87">
        <v>343</v>
      </c>
      <c r="D209" s="87"/>
      <c r="E209" s="87"/>
      <c r="F209" s="87"/>
      <c r="G209" s="162" t="s">
        <v>52</v>
      </c>
      <c r="H209" s="206">
        <f>H211+H216</f>
        <v>2900</v>
      </c>
      <c r="I209" s="206">
        <f>I211+I216</f>
        <v>500</v>
      </c>
      <c r="J209" s="206">
        <f>J211+J216</f>
        <v>3400</v>
      </c>
      <c r="K209" s="342"/>
    </row>
    <row r="210" spans="1:11" ht="31.5" hidden="1" customHeight="1" x14ac:dyDescent="0.2">
      <c r="A210" s="85"/>
      <c r="B210" s="85"/>
      <c r="C210" s="85"/>
      <c r="D210" s="85">
        <v>3431</v>
      </c>
      <c r="E210" s="85"/>
      <c r="F210" s="85"/>
      <c r="G210" s="86" t="s">
        <v>53</v>
      </c>
      <c r="H210" s="90">
        <f t="shared" ref="H210:J211" si="38">H211</f>
        <v>2800</v>
      </c>
      <c r="I210" s="90">
        <f t="shared" si="38"/>
        <v>500</v>
      </c>
      <c r="J210" s="90">
        <f t="shared" si="38"/>
        <v>3300</v>
      </c>
      <c r="K210" s="339"/>
    </row>
    <row r="211" spans="1:11" ht="20.100000000000001" hidden="1" customHeight="1" x14ac:dyDescent="0.2">
      <c r="A211" s="85"/>
      <c r="B211" s="85"/>
      <c r="C211" s="85"/>
      <c r="D211" s="85"/>
      <c r="E211" s="85">
        <v>34311</v>
      </c>
      <c r="F211" s="85"/>
      <c r="G211" s="86" t="s">
        <v>277</v>
      </c>
      <c r="H211" s="90">
        <f t="shared" si="38"/>
        <v>2800</v>
      </c>
      <c r="I211" s="90">
        <f t="shared" si="38"/>
        <v>500</v>
      </c>
      <c r="J211" s="90">
        <f t="shared" si="38"/>
        <v>3300</v>
      </c>
      <c r="K211" s="339"/>
    </row>
    <row r="212" spans="1:11" ht="20.100000000000001" hidden="1" customHeight="1" x14ac:dyDescent="0.2">
      <c r="A212" s="189"/>
      <c r="B212" s="189"/>
      <c r="C212" s="189"/>
      <c r="D212" s="189"/>
      <c r="E212" s="189"/>
      <c r="F212" s="189">
        <v>343110</v>
      </c>
      <c r="G212" s="262" t="s">
        <v>277</v>
      </c>
      <c r="H212" s="191">
        <v>2800</v>
      </c>
      <c r="I212" s="191">
        <f>J212-H212</f>
        <v>500</v>
      </c>
      <c r="J212" s="191">
        <v>3300</v>
      </c>
      <c r="K212" s="339"/>
    </row>
    <row r="213" spans="1:11" ht="20.100000000000001" hidden="1" customHeight="1" x14ac:dyDescent="0.2">
      <c r="A213" s="85"/>
      <c r="B213" s="85"/>
      <c r="C213" s="85"/>
      <c r="D213" s="85"/>
      <c r="E213" s="85">
        <v>34312</v>
      </c>
      <c r="F213" s="85"/>
      <c r="G213" s="86" t="s">
        <v>280</v>
      </c>
      <c r="H213" s="90">
        <f>H214</f>
        <v>0</v>
      </c>
      <c r="I213" s="90">
        <f>I214</f>
        <v>0</v>
      </c>
      <c r="J213" s="90">
        <f>J214</f>
        <v>0</v>
      </c>
      <c r="K213" s="339"/>
    </row>
    <row r="214" spans="1:11" ht="20.100000000000001" hidden="1" customHeight="1" x14ac:dyDescent="0.2">
      <c r="A214" s="189"/>
      <c r="B214" s="189"/>
      <c r="C214" s="189"/>
      <c r="D214" s="189"/>
      <c r="E214" s="189"/>
      <c r="F214" s="85">
        <v>343120</v>
      </c>
      <c r="G214" s="86" t="s">
        <v>280</v>
      </c>
      <c r="H214" s="191">
        <v>0</v>
      </c>
      <c r="I214" s="191">
        <f>J214-H214</f>
        <v>0</v>
      </c>
      <c r="J214" s="191">
        <v>0</v>
      </c>
      <c r="K214" s="339"/>
    </row>
    <row r="215" spans="1:11" ht="20.100000000000001" hidden="1" customHeight="1" x14ac:dyDescent="0.2">
      <c r="A215" s="78"/>
      <c r="B215" s="78"/>
      <c r="C215" s="85"/>
      <c r="D215" s="85">
        <v>3433</v>
      </c>
      <c r="E215" s="85"/>
      <c r="F215" s="85"/>
      <c r="G215" s="86" t="s">
        <v>54</v>
      </c>
      <c r="H215" s="90">
        <f t="shared" ref="H215:J215" si="39">H216</f>
        <v>100</v>
      </c>
      <c r="I215" s="90">
        <f t="shared" si="39"/>
        <v>0</v>
      </c>
      <c r="J215" s="90">
        <f t="shared" si="39"/>
        <v>100</v>
      </c>
      <c r="K215" s="339"/>
    </row>
    <row r="216" spans="1:11" ht="20.100000000000001" hidden="1" customHeight="1" x14ac:dyDescent="0.2">
      <c r="A216" s="78"/>
      <c r="B216" s="78"/>
      <c r="C216" s="85"/>
      <c r="D216" s="85"/>
      <c r="E216" s="85">
        <v>34333</v>
      </c>
      <c r="F216" s="85"/>
      <c r="G216" s="86" t="s">
        <v>54</v>
      </c>
      <c r="H216" s="90">
        <f>H217</f>
        <v>100</v>
      </c>
      <c r="I216" s="90">
        <f>I217</f>
        <v>0</v>
      </c>
      <c r="J216" s="90">
        <f>J217</f>
        <v>100</v>
      </c>
      <c r="K216" s="339"/>
    </row>
    <row r="217" spans="1:11" ht="20.100000000000001" hidden="1" customHeight="1" x14ac:dyDescent="0.2">
      <c r="A217" s="186"/>
      <c r="B217" s="186"/>
      <c r="C217" s="189"/>
      <c r="D217" s="189"/>
      <c r="E217" s="189"/>
      <c r="F217" s="189">
        <v>343330</v>
      </c>
      <c r="G217" s="262" t="s">
        <v>54</v>
      </c>
      <c r="H217" s="191">
        <v>100</v>
      </c>
      <c r="I217" s="191">
        <f>J217-H217</f>
        <v>0</v>
      </c>
      <c r="J217" s="191">
        <v>100</v>
      </c>
      <c r="K217" s="339"/>
    </row>
    <row r="218" spans="1:11" ht="25.5" x14ac:dyDescent="0.2">
      <c r="A218" s="186"/>
      <c r="B218" s="77">
        <v>36</v>
      </c>
      <c r="C218" s="77"/>
      <c r="D218" s="250"/>
      <c r="E218" s="251"/>
      <c r="F218" s="260"/>
      <c r="G218" s="160" t="s">
        <v>486</v>
      </c>
      <c r="H218" s="206">
        <f t="shared" ref="H218:J218" si="40">H219</f>
        <v>2660</v>
      </c>
      <c r="I218" s="206">
        <f t="shared" si="40"/>
        <v>0</v>
      </c>
      <c r="J218" s="206">
        <f t="shared" si="40"/>
        <v>2660</v>
      </c>
      <c r="K218" s="339"/>
    </row>
    <row r="219" spans="1:11" ht="25.5" hidden="1" x14ac:dyDescent="0.2">
      <c r="A219" s="186"/>
      <c r="B219" s="77"/>
      <c r="C219" s="77">
        <v>369</v>
      </c>
      <c r="D219" s="250"/>
      <c r="E219" s="251"/>
      <c r="F219" s="260"/>
      <c r="G219" s="160" t="s">
        <v>487</v>
      </c>
      <c r="H219" s="206">
        <f t="shared" ref="H219:J219" si="41">H220</f>
        <v>2660</v>
      </c>
      <c r="I219" s="206">
        <f t="shared" si="41"/>
        <v>0</v>
      </c>
      <c r="J219" s="206">
        <f t="shared" si="41"/>
        <v>2660</v>
      </c>
      <c r="K219" s="339"/>
    </row>
    <row r="220" spans="1:11" ht="25.5" hidden="1" x14ac:dyDescent="0.2">
      <c r="A220" s="186"/>
      <c r="B220" s="252"/>
      <c r="C220" s="85"/>
      <c r="D220" s="85">
        <v>3691</v>
      </c>
      <c r="E220" s="85"/>
      <c r="F220" s="85"/>
      <c r="G220" s="86" t="s">
        <v>488</v>
      </c>
      <c r="H220" s="90">
        <f t="shared" ref="H220:J220" si="42">H221</f>
        <v>2660</v>
      </c>
      <c r="I220" s="90">
        <f t="shared" si="42"/>
        <v>0</v>
      </c>
      <c r="J220" s="90">
        <f t="shared" si="42"/>
        <v>2660</v>
      </c>
      <c r="K220" s="339"/>
    </row>
    <row r="221" spans="1:11" ht="25.5" hidden="1" x14ac:dyDescent="0.2">
      <c r="A221" s="186"/>
      <c r="B221" s="252"/>
      <c r="C221" s="85"/>
      <c r="D221" s="85"/>
      <c r="E221" s="85" t="s">
        <v>489</v>
      </c>
      <c r="F221" s="85"/>
      <c r="G221" s="86" t="s">
        <v>488</v>
      </c>
      <c r="H221" s="90">
        <f t="shared" ref="H221" si="43">H222+H223</f>
        <v>2660</v>
      </c>
      <c r="I221" s="90">
        <f t="shared" ref="I221:J221" si="44">I222+I223</f>
        <v>0</v>
      </c>
      <c r="J221" s="90">
        <f t="shared" si="44"/>
        <v>2660</v>
      </c>
      <c r="K221" s="339"/>
    </row>
    <row r="222" spans="1:11" ht="25.5" hidden="1" x14ac:dyDescent="0.2">
      <c r="A222" s="186"/>
      <c r="B222" s="252"/>
      <c r="C222" s="85"/>
      <c r="D222" s="85"/>
      <c r="E222" s="85"/>
      <c r="F222" s="189" t="s">
        <v>490</v>
      </c>
      <c r="G222" s="262" t="s">
        <v>491</v>
      </c>
      <c r="H222" s="191">
        <v>1360</v>
      </c>
      <c r="I222" s="191">
        <f>J222-H222</f>
        <v>0</v>
      </c>
      <c r="J222" s="191">
        <v>1360</v>
      </c>
      <c r="K222" s="339"/>
    </row>
    <row r="223" spans="1:11" ht="25.5" hidden="1" x14ac:dyDescent="0.2">
      <c r="A223" s="186"/>
      <c r="B223" s="252"/>
      <c r="C223" s="85"/>
      <c r="D223" s="85"/>
      <c r="E223" s="85"/>
      <c r="F223" s="189" t="s">
        <v>493</v>
      </c>
      <c r="G223" s="262" t="s">
        <v>492</v>
      </c>
      <c r="H223" s="191">
        <v>1300</v>
      </c>
      <c r="I223" s="191">
        <f>J223-H223</f>
        <v>0</v>
      </c>
      <c r="J223" s="191">
        <v>1300</v>
      </c>
      <c r="K223" s="339"/>
    </row>
    <row r="224" spans="1:11" ht="25.5" hidden="1" x14ac:dyDescent="0.2">
      <c r="A224" s="78"/>
      <c r="B224" s="77">
        <v>37</v>
      </c>
      <c r="C224" s="85"/>
      <c r="D224" s="85"/>
      <c r="E224" s="85"/>
      <c r="F224" s="85"/>
      <c r="G224" s="160" t="s">
        <v>55</v>
      </c>
      <c r="H224" s="90">
        <f t="shared" ref="H224:J227" si="45">H225</f>
        <v>0</v>
      </c>
      <c r="I224" s="90">
        <f t="shared" si="45"/>
        <v>0</v>
      </c>
      <c r="J224" s="90">
        <f t="shared" si="45"/>
        <v>0</v>
      </c>
      <c r="K224" s="339"/>
    </row>
    <row r="225" spans="1:11" ht="20.100000000000001" hidden="1" customHeight="1" x14ac:dyDescent="0.2">
      <c r="A225" s="78"/>
      <c r="B225" s="78"/>
      <c r="C225" s="87">
        <v>372</v>
      </c>
      <c r="D225" s="85"/>
      <c r="E225" s="85"/>
      <c r="F225" s="85"/>
      <c r="G225" s="82" t="s">
        <v>323</v>
      </c>
      <c r="H225" s="90">
        <f t="shared" si="45"/>
        <v>0</v>
      </c>
      <c r="I225" s="90">
        <f t="shared" si="45"/>
        <v>0</v>
      </c>
      <c r="J225" s="90">
        <f t="shared" si="45"/>
        <v>0</v>
      </c>
      <c r="K225" s="339"/>
    </row>
    <row r="226" spans="1:11" ht="20.100000000000001" hidden="1" customHeight="1" x14ac:dyDescent="0.2">
      <c r="A226" s="78"/>
      <c r="B226" s="78"/>
      <c r="C226" s="85"/>
      <c r="D226" s="85">
        <v>3721</v>
      </c>
      <c r="E226" s="85"/>
      <c r="F226" s="85"/>
      <c r="G226" s="86" t="s">
        <v>284</v>
      </c>
      <c r="H226" s="90">
        <f t="shared" si="45"/>
        <v>0</v>
      </c>
      <c r="I226" s="90">
        <f t="shared" si="45"/>
        <v>0</v>
      </c>
      <c r="J226" s="90">
        <f t="shared" si="45"/>
        <v>0</v>
      </c>
      <c r="K226" s="339"/>
    </row>
    <row r="227" spans="1:11" ht="20.100000000000001" hidden="1" customHeight="1" x14ac:dyDescent="0.2">
      <c r="A227" s="78"/>
      <c r="B227" s="78"/>
      <c r="C227" s="85"/>
      <c r="D227" s="85"/>
      <c r="E227" s="85">
        <v>37215</v>
      </c>
      <c r="F227" s="85"/>
      <c r="G227" s="86" t="s">
        <v>286</v>
      </c>
      <c r="H227" s="90">
        <f t="shared" si="45"/>
        <v>0</v>
      </c>
      <c r="I227" s="90">
        <f t="shared" si="45"/>
        <v>0</v>
      </c>
      <c r="J227" s="90">
        <f t="shared" si="45"/>
        <v>0</v>
      </c>
      <c r="K227" s="339"/>
    </row>
    <row r="228" spans="1:11" ht="20.100000000000001" hidden="1" customHeight="1" x14ac:dyDescent="0.2">
      <c r="A228" s="186"/>
      <c r="B228" s="186"/>
      <c r="C228" s="189"/>
      <c r="D228" s="189"/>
      <c r="E228" s="189"/>
      <c r="F228" s="85">
        <v>372150</v>
      </c>
      <c r="G228" s="86" t="s">
        <v>286</v>
      </c>
      <c r="H228" s="191">
        <v>0</v>
      </c>
      <c r="I228" s="191">
        <f>J228-H228</f>
        <v>0</v>
      </c>
      <c r="J228" s="191">
        <v>0</v>
      </c>
      <c r="K228" s="339"/>
    </row>
    <row r="229" spans="1:11" ht="24.75" customHeight="1" x14ac:dyDescent="0.2">
      <c r="A229" s="81"/>
      <c r="B229" s="81"/>
      <c r="C229" s="144"/>
      <c r="D229" s="144"/>
      <c r="E229" s="144"/>
      <c r="F229" s="144"/>
      <c r="G229" s="82" t="s">
        <v>12</v>
      </c>
      <c r="H229" s="90"/>
      <c r="I229" s="90"/>
      <c r="J229" s="90"/>
      <c r="K229" s="339"/>
    </row>
    <row r="230" spans="1:11" ht="30" customHeight="1" x14ac:dyDescent="0.2">
      <c r="A230" s="77">
        <v>4</v>
      </c>
      <c r="B230" s="78"/>
      <c r="C230" s="85"/>
      <c r="D230" s="85"/>
      <c r="E230" s="85"/>
      <c r="F230" s="85"/>
      <c r="G230" s="160" t="s">
        <v>5</v>
      </c>
      <c r="H230" s="206">
        <f>H231+H236+H263</f>
        <v>522228.99</v>
      </c>
      <c r="I230" s="206">
        <f>I231+I236+I263</f>
        <v>1831.8799999999974</v>
      </c>
      <c r="J230" s="206">
        <f>J231+J236+J263</f>
        <v>524060.87</v>
      </c>
      <c r="K230" s="339"/>
    </row>
    <row r="231" spans="1:11" ht="30" customHeight="1" x14ac:dyDescent="0.2">
      <c r="A231" s="78"/>
      <c r="B231" s="77">
        <v>41</v>
      </c>
      <c r="C231" s="87"/>
      <c r="D231" s="87"/>
      <c r="E231" s="87"/>
      <c r="F231" s="87"/>
      <c r="G231" s="160" t="s">
        <v>60</v>
      </c>
      <c r="H231" s="206">
        <f t="shared" ref="H231:J231" si="46">H232</f>
        <v>2000</v>
      </c>
      <c r="I231" s="206">
        <f t="shared" si="46"/>
        <v>281.88000000000011</v>
      </c>
      <c r="J231" s="206">
        <f t="shared" si="46"/>
        <v>2281.88</v>
      </c>
      <c r="K231" s="339"/>
    </row>
    <row r="232" spans="1:11" s="75" customFormat="1" ht="20.100000000000001" hidden="1" customHeight="1" x14ac:dyDescent="0.2">
      <c r="A232" s="146"/>
      <c r="B232" s="77"/>
      <c r="C232" s="87">
        <v>412</v>
      </c>
      <c r="D232" s="87"/>
      <c r="E232" s="87"/>
      <c r="F232" s="87"/>
      <c r="G232" s="82" t="s">
        <v>61</v>
      </c>
      <c r="H232" s="206">
        <f t="shared" ref="H232:J234" si="47">H233</f>
        <v>2000</v>
      </c>
      <c r="I232" s="206">
        <f t="shared" si="47"/>
        <v>281.88000000000011</v>
      </c>
      <c r="J232" s="206">
        <f t="shared" si="47"/>
        <v>2281.88</v>
      </c>
      <c r="K232" s="342"/>
    </row>
    <row r="233" spans="1:11" ht="20.100000000000001" hidden="1" customHeight="1" x14ac:dyDescent="0.2">
      <c r="A233" s="78"/>
      <c r="B233" s="78"/>
      <c r="C233" s="85"/>
      <c r="D233" s="85">
        <v>4123</v>
      </c>
      <c r="E233" s="85"/>
      <c r="F233" s="85"/>
      <c r="G233" s="84" t="s">
        <v>62</v>
      </c>
      <c r="H233" s="90">
        <f t="shared" si="47"/>
        <v>2000</v>
      </c>
      <c r="I233" s="90">
        <f t="shared" si="47"/>
        <v>281.88000000000011</v>
      </c>
      <c r="J233" s="90">
        <f t="shared" si="47"/>
        <v>2281.88</v>
      </c>
      <c r="K233" s="339"/>
    </row>
    <row r="234" spans="1:11" ht="20.100000000000001" hidden="1" customHeight="1" x14ac:dyDescent="0.2">
      <c r="A234" s="78"/>
      <c r="B234" s="78"/>
      <c r="C234" s="85"/>
      <c r="D234" s="85"/>
      <c r="E234" s="85">
        <v>41231</v>
      </c>
      <c r="F234" s="85"/>
      <c r="G234" s="84" t="s">
        <v>62</v>
      </c>
      <c r="H234" s="90">
        <f>H235</f>
        <v>2000</v>
      </c>
      <c r="I234" s="90">
        <f t="shared" si="47"/>
        <v>281.88000000000011</v>
      </c>
      <c r="J234" s="90">
        <f>J235</f>
        <v>2281.88</v>
      </c>
      <c r="K234" s="339"/>
    </row>
    <row r="235" spans="1:11" ht="20.100000000000001" hidden="1" customHeight="1" x14ac:dyDescent="0.2">
      <c r="A235" s="186"/>
      <c r="B235" s="186"/>
      <c r="C235" s="189"/>
      <c r="D235" s="189"/>
      <c r="E235" s="189"/>
      <c r="F235" s="189">
        <v>412310</v>
      </c>
      <c r="G235" s="188" t="s">
        <v>62</v>
      </c>
      <c r="H235" s="191">
        <v>2000</v>
      </c>
      <c r="I235" s="191">
        <f>J235-H235</f>
        <v>281.88000000000011</v>
      </c>
      <c r="J235" s="191">
        <f>2000+281.88</f>
        <v>2281.88</v>
      </c>
      <c r="K235" s="339"/>
    </row>
    <row r="236" spans="1:11" ht="27" customHeight="1" x14ac:dyDescent="0.2">
      <c r="A236" s="77"/>
      <c r="B236" s="77">
        <v>42</v>
      </c>
      <c r="C236" s="87"/>
      <c r="D236" s="87"/>
      <c r="E236" s="87"/>
      <c r="F236" s="87"/>
      <c r="G236" s="160" t="s">
        <v>63</v>
      </c>
      <c r="H236" s="206">
        <f t="shared" ref="H236" si="48">H237+H259+H255</f>
        <v>520228.99</v>
      </c>
      <c r="I236" s="206">
        <f>I237+I259+I255</f>
        <v>-53450</v>
      </c>
      <c r="J236" s="206">
        <f t="shared" ref="J236" si="49">J237+J259+J255</f>
        <v>466778.99</v>
      </c>
      <c r="K236" s="339"/>
    </row>
    <row r="237" spans="1:11" s="75" customFormat="1" ht="20.100000000000001" hidden="1" customHeight="1" x14ac:dyDescent="0.2">
      <c r="A237" s="146"/>
      <c r="B237" s="77"/>
      <c r="C237" s="87">
        <v>422</v>
      </c>
      <c r="D237" s="87"/>
      <c r="E237" s="87"/>
      <c r="F237" s="87"/>
      <c r="G237" s="88" t="s">
        <v>64</v>
      </c>
      <c r="H237" s="206">
        <f>H238+H248+H245</f>
        <v>515228.99</v>
      </c>
      <c r="I237" s="206">
        <f>I238+I248+I245</f>
        <v>-53450</v>
      </c>
      <c r="J237" s="206">
        <f>J238+J248+J245</f>
        <v>461778.99</v>
      </c>
      <c r="K237" s="342"/>
    </row>
    <row r="238" spans="1:11" s="93" customFormat="1" ht="20.100000000000001" hidden="1" customHeight="1" x14ac:dyDescent="0.2">
      <c r="A238" s="78"/>
      <c r="B238" s="78"/>
      <c r="C238" s="85"/>
      <c r="D238" s="85">
        <v>4221</v>
      </c>
      <c r="E238" s="85"/>
      <c r="F238" s="85"/>
      <c r="G238" s="144" t="s">
        <v>65</v>
      </c>
      <c r="H238" s="90">
        <f>H239+H241+H243</f>
        <v>10718.99</v>
      </c>
      <c r="I238" s="90">
        <f t="shared" ref="I238" si="50">I239+I241+I243</f>
        <v>1549.9999999999993</v>
      </c>
      <c r="J238" s="90">
        <f>J239+J241+J243</f>
        <v>12268.99</v>
      </c>
      <c r="K238" s="341"/>
    </row>
    <row r="239" spans="1:11" s="93" customFormat="1" ht="20.100000000000001" hidden="1" customHeight="1" x14ac:dyDescent="0.2">
      <c r="A239" s="78"/>
      <c r="B239" s="78"/>
      <c r="C239" s="85"/>
      <c r="D239" s="85"/>
      <c r="E239" s="85">
        <v>42211</v>
      </c>
      <c r="F239" s="85"/>
      <c r="G239" s="144" t="s">
        <v>329</v>
      </c>
      <c r="H239" s="90">
        <f>H240</f>
        <v>8018.99</v>
      </c>
      <c r="I239" s="90">
        <f>I240</f>
        <v>1007.7199999999993</v>
      </c>
      <c r="J239" s="90">
        <f>J240</f>
        <v>9026.7099999999991</v>
      </c>
      <c r="K239" s="341"/>
    </row>
    <row r="240" spans="1:11" s="93" customFormat="1" ht="20.100000000000001" hidden="1" customHeight="1" x14ac:dyDescent="0.2">
      <c r="A240" s="186"/>
      <c r="B240" s="186"/>
      <c r="C240" s="189"/>
      <c r="D240" s="189"/>
      <c r="E240" s="189"/>
      <c r="F240" s="189">
        <v>422110</v>
      </c>
      <c r="G240" s="263" t="s">
        <v>329</v>
      </c>
      <c r="H240" s="191">
        <f>8019-0.01</f>
        <v>8018.99</v>
      </c>
      <c r="I240" s="191">
        <f>J240-H240</f>
        <v>1007.7199999999993</v>
      </c>
      <c r="J240" s="191">
        <v>9026.7099999999991</v>
      </c>
      <c r="K240" s="341"/>
    </row>
    <row r="241" spans="1:11" s="93" customFormat="1" ht="20.100000000000001" hidden="1" customHeight="1" x14ac:dyDescent="0.2">
      <c r="A241" s="78"/>
      <c r="B241" s="78"/>
      <c r="C241" s="85"/>
      <c r="D241" s="85"/>
      <c r="E241" s="85">
        <v>42212</v>
      </c>
      <c r="F241" s="85"/>
      <c r="G241" s="144" t="s">
        <v>332</v>
      </c>
      <c r="H241" s="90">
        <f>H242</f>
        <v>2700</v>
      </c>
      <c r="I241" s="90">
        <f>I242</f>
        <v>0</v>
      </c>
      <c r="J241" s="90">
        <f>J242</f>
        <v>2700</v>
      </c>
      <c r="K241" s="341"/>
    </row>
    <row r="242" spans="1:11" s="93" customFormat="1" ht="20.100000000000001" hidden="1" customHeight="1" x14ac:dyDescent="0.2">
      <c r="A242" s="186"/>
      <c r="B242" s="186"/>
      <c r="C242" s="189"/>
      <c r="D242" s="189"/>
      <c r="E242" s="189"/>
      <c r="F242" s="189">
        <v>422120</v>
      </c>
      <c r="G242" s="263" t="s">
        <v>332</v>
      </c>
      <c r="H242" s="191">
        <v>2700</v>
      </c>
      <c r="I242" s="191">
        <f>J242-H242</f>
        <v>0</v>
      </c>
      <c r="J242" s="191">
        <v>2700</v>
      </c>
      <c r="K242" s="341"/>
    </row>
    <row r="243" spans="1:11" s="93" customFormat="1" ht="20.100000000000001" hidden="1" customHeight="1" x14ac:dyDescent="0.2">
      <c r="A243" s="186"/>
      <c r="B243" s="186"/>
      <c r="C243" s="189"/>
      <c r="D243" s="189"/>
      <c r="E243" s="85">
        <v>42219</v>
      </c>
      <c r="F243" s="85"/>
      <c r="G243" s="144" t="s">
        <v>479</v>
      </c>
      <c r="H243" s="90">
        <f t="shared" ref="H243:J243" si="51">H244</f>
        <v>0</v>
      </c>
      <c r="I243" s="90">
        <f t="shared" si="51"/>
        <v>542.28</v>
      </c>
      <c r="J243" s="90">
        <f t="shared" si="51"/>
        <v>542.28</v>
      </c>
      <c r="K243" s="341"/>
    </row>
    <row r="244" spans="1:11" s="93" customFormat="1" ht="20.100000000000001" hidden="1" customHeight="1" x14ac:dyDescent="0.2">
      <c r="A244" s="186"/>
      <c r="B244" s="186"/>
      <c r="C244" s="189"/>
      <c r="D244" s="189"/>
      <c r="E244" s="189"/>
      <c r="F244" s="189">
        <v>422190</v>
      </c>
      <c r="G244" s="263" t="s">
        <v>479</v>
      </c>
      <c r="H244" s="191">
        <f>50000-50000</f>
        <v>0</v>
      </c>
      <c r="I244" s="191">
        <f>J244-H244</f>
        <v>542.28</v>
      </c>
      <c r="J244" s="191">
        <f>271.38+270.9</f>
        <v>542.28</v>
      </c>
      <c r="K244" s="341"/>
    </row>
    <row r="245" spans="1:11" s="93" customFormat="1" ht="20.100000000000001" hidden="1" customHeight="1" x14ac:dyDescent="0.2">
      <c r="A245" s="78"/>
      <c r="B245" s="78"/>
      <c r="C245" s="85"/>
      <c r="D245" s="85">
        <v>4223</v>
      </c>
      <c r="E245" s="85"/>
      <c r="F245" s="85"/>
      <c r="G245" s="144" t="s">
        <v>446</v>
      </c>
      <c r="H245" s="90">
        <f t="shared" ref="H245:J245" si="52">H246</f>
        <v>2700</v>
      </c>
      <c r="I245" s="90">
        <f t="shared" si="52"/>
        <v>0</v>
      </c>
      <c r="J245" s="90">
        <f t="shared" si="52"/>
        <v>2700</v>
      </c>
      <c r="K245" s="341"/>
    </row>
    <row r="246" spans="1:11" s="93" customFormat="1" ht="20.100000000000001" hidden="1" customHeight="1" x14ac:dyDescent="0.2">
      <c r="A246" s="78"/>
      <c r="B246" s="78"/>
      <c r="C246" s="85"/>
      <c r="D246" s="85"/>
      <c r="E246" s="85">
        <v>42231</v>
      </c>
      <c r="F246" s="85"/>
      <c r="G246" s="144" t="s">
        <v>447</v>
      </c>
      <c r="H246" s="90">
        <f t="shared" ref="H246:J246" si="53">H247</f>
        <v>2700</v>
      </c>
      <c r="I246" s="90">
        <f t="shared" si="53"/>
        <v>0</v>
      </c>
      <c r="J246" s="90">
        <f t="shared" si="53"/>
        <v>2700</v>
      </c>
      <c r="K246" s="341"/>
    </row>
    <row r="247" spans="1:11" s="93" customFormat="1" ht="20.100000000000001" hidden="1" customHeight="1" x14ac:dyDescent="0.2">
      <c r="A247" s="186"/>
      <c r="B247" s="186"/>
      <c r="C247" s="189"/>
      <c r="D247" s="189"/>
      <c r="E247" s="189"/>
      <c r="F247" s="189">
        <v>422310</v>
      </c>
      <c r="G247" s="263" t="s">
        <v>447</v>
      </c>
      <c r="H247" s="191">
        <v>2700</v>
      </c>
      <c r="I247" s="191">
        <f>J247-H247</f>
        <v>0</v>
      </c>
      <c r="J247" s="191">
        <v>2700</v>
      </c>
      <c r="K247" s="341"/>
    </row>
    <row r="248" spans="1:11" ht="20.100000000000001" hidden="1" customHeight="1" x14ac:dyDescent="0.2">
      <c r="A248" s="78"/>
      <c r="B248" s="78"/>
      <c r="C248" s="85"/>
      <c r="D248" s="85">
        <v>4224</v>
      </c>
      <c r="E248" s="85"/>
      <c r="F248" s="85"/>
      <c r="G248" s="144" t="s">
        <v>66</v>
      </c>
      <c r="H248" s="90">
        <f>H249+H251</f>
        <v>501810</v>
      </c>
      <c r="I248" s="90">
        <f>I249+I251</f>
        <v>-55000</v>
      </c>
      <c r="J248" s="90">
        <f>J249+J251</f>
        <v>446810</v>
      </c>
      <c r="K248" s="339"/>
    </row>
    <row r="249" spans="1:11" ht="20.100000000000001" hidden="1" customHeight="1" x14ac:dyDescent="0.2">
      <c r="A249" s="78"/>
      <c r="B249" s="78"/>
      <c r="C249" s="85"/>
      <c r="D249" s="85"/>
      <c r="E249" s="85">
        <v>42241</v>
      </c>
      <c r="F249" s="85"/>
      <c r="G249" s="144" t="s">
        <v>335</v>
      </c>
      <c r="H249" s="90">
        <f>H250</f>
        <v>2000</v>
      </c>
      <c r="I249" s="90">
        <f>I250</f>
        <v>13000</v>
      </c>
      <c r="J249" s="90">
        <f>J250</f>
        <v>15000</v>
      </c>
      <c r="K249" s="339"/>
    </row>
    <row r="250" spans="1:11" s="93" customFormat="1" ht="20.100000000000001" hidden="1" customHeight="1" x14ac:dyDescent="0.2">
      <c r="A250" s="186"/>
      <c r="B250" s="186"/>
      <c r="C250" s="189"/>
      <c r="D250" s="189"/>
      <c r="E250" s="189"/>
      <c r="F250" s="189">
        <v>422410</v>
      </c>
      <c r="G250" s="263" t="s">
        <v>335</v>
      </c>
      <c r="H250" s="191">
        <v>2000</v>
      </c>
      <c r="I250" s="191">
        <f>J250-H250</f>
        <v>13000</v>
      </c>
      <c r="J250" s="191">
        <f>2000+13000</f>
        <v>15000</v>
      </c>
      <c r="K250" s="341"/>
    </row>
    <row r="251" spans="1:11" ht="20.100000000000001" hidden="1" customHeight="1" x14ac:dyDescent="0.2">
      <c r="A251" s="78"/>
      <c r="B251" s="78"/>
      <c r="C251" s="85"/>
      <c r="D251" s="85"/>
      <c r="E251" s="85">
        <v>42242</v>
      </c>
      <c r="F251" s="85"/>
      <c r="G251" s="144" t="s">
        <v>338</v>
      </c>
      <c r="H251" s="90">
        <f>H252</f>
        <v>499810</v>
      </c>
      <c r="I251" s="90">
        <f>I252</f>
        <v>-68000</v>
      </c>
      <c r="J251" s="90">
        <f>J252</f>
        <v>431810</v>
      </c>
      <c r="K251" s="339"/>
    </row>
    <row r="252" spans="1:11" ht="26.25" hidden="1" customHeight="1" x14ac:dyDescent="0.2">
      <c r="A252" s="186"/>
      <c r="B252" s="186"/>
      <c r="C252" s="189"/>
      <c r="D252" s="189"/>
      <c r="E252" s="189"/>
      <c r="F252" s="189">
        <v>422420</v>
      </c>
      <c r="G252" s="263" t="s">
        <v>338</v>
      </c>
      <c r="H252" s="191">
        <f>163310+336500</f>
        <v>499810</v>
      </c>
      <c r="I252" s="191">
        <f>J252-H252</f>
        <v>-68000</v>
      </c>
      <c r="J252" s="191">
        <f>163310+336500-55000-13000</f>
        <v>431810</v>
      </c>
      <c r="K252" s="339"/>
    </row>
    <row r="253" spans="1:11" ht="20.100000000000001" hidden="1" customHeight="1" x14ac:dyDescent="0.2">
      <c r="A253" s="78"/>
      <c r="B253" s="78"/>
      <c r="C253" s="85">
        <v>4225</v>
      </c>
      <c r="D253" s="85"/>
      <c r="E253" s="85"/>
      <c r="F253" s="85"/>
      <c r="G253" s="144" t="s">
        <v>67</v>
      </c>
      <c r="H253" s="90">
        <v>0</v>
      </c>
      <c r="I253" s="90">
        <v>0</v>
      </c>
      <c r="J253" s="90">
        <v>0</v>
      </c>
      <c r="K253" s="339"/>
    </row>
    <row r="254" spans="1:11" ht="20.100000000000001" hidden="1" customHeight="1" x14ac:dyDescent="0.2">
      <c r="A254" s="78"/>
      <c r="B254" s="78"/>
      <c r="C254" s="85">
        <v>4227</v>
      </c>
      <c r="D254" s="85"/>
      <c r="E254" s="85"/>
      <c r="F254" s="85"/>
      <c r="G254" s="144" t="s">
        <v>68</v>
      </c>
      <c r="H254" s="90">
        <v>0</v>
      </c>
      <c r="I254" s="90">
        <v>0</v>
      </c>
      <c r="J254" s="90">
        <v>0</v>
      </c>
      <c r="K254" s="339"/>
    </row>
    <row r="255" spans="1:11" s="75" customFormat="1" ht="20.100000000000001" hidden="1" customHeight="1" x14ac:dyDescent="0.2">
      <c r="A255" s="77"/>
      <c r="B255" s="77"/>
      <c r="C255" s="87">
        <v>423</v>
      </c>
      <c r="D255" s="87"/>
      <c r="E255" s="87"/>
      <c r="F255" s="87"/>
      <c r="G255" s="88" t="s">
        <v>69</v>
      </c>
      <c r="H255" s="206">
        <f t="shared" ref="H255:J256" si="54">H256</f>
        <v>0</v>
      </c>
      <c r="I255" s="206">
        <f t="shared" si="54"/>
        <v>0</v>
      </c>
      <c r="J255" s="206">
        <f t="shared" si="54"/>
        <v>0</v>
      </c>
      <c r="K255" s="342"/>
    </row>
    <row r="256" spans="1:11" ht="20.100000000000001" hidden="1" customHeight="1" x14ac:dyDescent="0.2">
      <c r="A256" s="78"/>
      <c r="B256" s="78"/>
      <c r="C256" s="85"/>
      <c r="D256" s="85">
        <v>4231</v>
      </c>
      <c r="E256" s="85"/>
      <c r="F256" s="85"/>
      <c r="G256" s="144" t="s">
        <v>70</v>
      </c>
      <c r="H256" s="90">
        <f t="shared" si="54"/>
        <v>0</v>
      </c>
      <c r="I256" s="90">
        <f t="shared" si="54"/>
        <v>0</v>
      </c>
      <c r="J256" s="90">
        <f t="shared" si="54"/>
        <v>0</v>
      </c>
      <c r="K256" s="339"/>
    </row>
    <row r="257" spans="1:11" ht="20.100000000000001" hidden="1" customHeight="1" x14ac:dyDescent="0.2">
      <c r="A257" s="78"/>
      <c r="B257" s="78"/>
      <c r="C257" s="85"/>
      <c r="D257" s="85"/>
      <c r="E257" s="85">
        <v>42311</v>
      </c>
      <c r="F257" s="85"/>
      <c r="G257" s="144" t="s">
        <v>70</v>
      </c>
      <c r="H257" s="90">
        <f t="shared" ref="H257:J257" si="55">H258</f>
        <v>0</v>
      </c>
      <c r="I257" s="90">
        <f t="shared" si="55"/>
        <v>0</v>
      </c>
      <c r="J257" s="90">
        <f t="shared" si="55"/>
        <v>0</v>
      </c>
      <c r="K257" s="339"/>
    </row>
    <row r="258" spans="1:11" ht="20.100000000000001" hidden="1" customHeight="1" x14ac:dyDescent="0.2">
      <c r="A258" s="186"/>
      <c r="B258" s="186"/>
      <c r="C258" s="189"/>
      <c r="D258" s="189"/>
      <c r="E258" s="189"/>
      <c r="F258" s="85">
        <v>423110</v>
      </c>
      <c r="G258" s="144" t="s">
        <v>70</v>
      </c>
      <c r="H258" s="191">
        <v>0</v>
      </c>
      <c r="I258" s="191">
        <f>J258-H258</f>
        <v>0</v>
      </c>
      <c r="J258" s="191">
        <v>0</v>
      </c>
      <c r="K258" s="339"/>
    </row>
    <row r="259" spans="1:11" s="75" customFormat="1" ht="20.100000000000001" hidden="1" customHeight="1" x14ac:dyDescent="0.2">
      <c r="A259" s="146"/>
      <c r="B259" s="77"/>
      <c r="C259" s="87">
        <v>426</v>
      </c>
      <c r="D259" s="87"/>
      <c r="E259" s="87"/>
      <c r="F259" s="87"/>
      <c r="G259" s="199" t="s">
        <v>71</v>
      </c>
      <c r="H259" s="206">
        <f t="shared" ref="H259:J261" si="56">H260</f>
        <v>5000</v>
      </c>
      <c r="I259" s="206">
        <f t="shared" si="56"/>
        <v>0</v>
      </c>
      <c r="J259" s="206">
        <f t="shared" si="56"/>
        <v>5000</v>
      </c>
      <c r="K259" s="342"/>
    </row>
    <row r="260" spans="1:11" ht="20.100000000000001" hidden="1" customHeight="1" x14ac:dyDescent="0.2">
      <c r="A260" s="98"/>
      <c r="B260" s="78"/>
      <c r="C260" s="85"/>
      <c r="D260" s="85">
        <v>4262</v>
      </c>
      <c r="E260" s="85"/>
      <c r="F260" s="85"/>
      <c r="G260" s="200" t="s">
        <v>72</v>
      </c>
      <c r="H260" s="90">
        <f t="shared" si="56"/>
        <v>5000</v>
      </c>
      <c r="I260" s="90">
        <f t="shared" si="56"/>
        <v>0</v>
      </c>
      <c r="J260" s="90">
        <f t="shared" si="56"/>
        <v>5000</v>
      </c>
      <c r="K260" s="339"/>
    </row>
    <row r="261" spans="1:11" ht="20.100000000000001" hidden="1" customHeight="1" x14ac:dyDescent="0.2">
      <c r="A261" s="98"/>
      <c r="B261" s="78"/>
      <c r="C261" s="85"/>
      <c r="D261" s="85"/>
      <c r="E261" s="85">
        <v>42621</v>
      </c>
      <c r="F261" s="85"/>
      <c r="G261" s="200" t="s">
        <v>72</v>
      </c>
      <c r="H261" s="90">
        <f t="shared" si="56"/>
        <v>5000</v>
      </c>
      <c r="I261" s="90">
        <f t="shared" si="56"/>
        <v>0</v>
      </c>
      <c r="J261" s="90">
        <f t="shared" si="56"/>
        <v>5000</v>
      </c>
      <c r="K261" s="339"/>
    </row>
    <row r="262" spans="1:11" s="93" customFormat="1" ht="20.100000000000001" hidden="1" customHeight="1" x14ac:dyDescent="0.2">
      <c r="A262" s="193"/>
      <c r="B262" s="186"/>
      <c r="C262" s="189"/>
      <c r="D262" s="189"/>
      <c r="E262" s="189"/>
      <c r="F262" s="189">
        <v>426210</v>
      </c>
      <c r="G262" s="264" t="s">
        <v>72</v>
      </c>
      <c r="H262" s="191">
        <v>5000</v>
      </c>
      <c r="I262" s="191">
        <f>J262-H262</f>
        <v>0</v>
      </c>
      <c r="J262" s="191">
        <v>5000</v>
      </c>
      <c r="K262" s="341"/>
    </row>
    <row r="263" spans="1:11" s="93" customFormat="1" ht="25.5" x14ac:dyDescent="0.2">
      <c r="A263" s="193"/>
      <c r="B263" s="77">
        <v>45</v>
      </c>
      <c r="C263" s="87"/>
      <c r="D263" s="87"/>
      <c r="E263" s="87"/>
      <c r="F263" s="87"/>
      <c r="G263" s="160" t="s">
        <v>508</v>
      </c>
      <c r="H263" s="206">
        <f t="shared" ref="H263:J266" si="57">H264</f>
        <v>0</v>
      </c>
      <c r="I263" s="206">
        <f t="shared" si="57"/>
        <v>55000</v>
      </c>
      <c r="J263" s="206">
        <f t="shared" si="57"/>
        <v>55000</v>
      </c>
      <c r="K263" s="341"/>
    </row>
    <row r="264" spans="1:11" s="93" customFormat="1" ht="20.100000000000001" hidden="1" customHeight="1" x14ac:dyDescent="0.2">
      <c r="A264" s="193"/>
      <c r="B264" s="78"/>
      <c r="C264" s="87">
        <v>452</v>
      </c>
      <c r="D264" s="87"/>
      <c r="E264" s="87"/>
      <c r="F264" s="87"/>
      <c r="G264" s="311" t="s">
        <v>509</v>
      </c>
      <c r="H264" s="206">
        <f t="shared" si="57"/>
        <v>0</v>
      </c>
      <c r="I264" s="206">
        <f t="shared" si="57"/>
        <v>55000</v>
      </c>
      <c r="J264" s="206">
        <f t="shared" si="57"/>
        <v>55000</v>
      </c>
      <c r="K264" s="341"/>
    </row>
    <row r="265" spans="1:11" s="93" customFormat="1" ht="20.100000000000001" hidden="1" customHeight="1" x14ac:dyDescent="0.2">
      <c r="A265" s="193"/>
      <c r="B265" s="78"/>
      <c r="C265" s="85"/>
      <c r="D265" s="85">
        <v>4521</v>
      </c>
      <c r="E265" s="85"/>
      <c r="F265" s="85"/>
      <c r="G265" s="200" t="s">
        <v>509</v>
      </c>
      <c r="H265" s="90">
        <f t="shared" si="57"/>
        <v>0</v>
      </c>
      <c r="I265" s="90">
        <f t="shared" si="57"/>
        <v>55000</v>
      </c>
      <c r="J265" s="90">
        <f t="shared" si="57"/>
        <v>55000</v>
      </c>
      <c r="K265" s="341"/>
    </row>
    <row r="266" spans="1:11" s="93" customFormat="1" ht="20.100000000000001" hidden="1" customHeight="1" x14ac:dyDescent="0.2">
      <c r="A266" s="193"/>
      <c r="B266" s="78"/>
      <c r="C266" s="85"/>
      <c r="D266" s="85"/>
      <c r="E266" s="85">
        <v>45211</v>
      </c>
      <c r="F266" s="85"/>
      <c r="G266" s="200" t="s">
        <v>509</v>
      </c>
      <c r="H266" s="90">
        <f t="shared" si="57"/>
        <v>0</v>
      </c>
      <c r="I266" s="90">
        <f t="shared" si="57"/>
        <v>55000</v>
      </c>
      <c r="J266" s="90">
        <f t="shared" si="57"/>
        <v>55000</v>
      </c>
      <c r="K266" s="341"/>
    </row>
    <row r="267" spans="1:11" s="93" customFormat="1" ht="20.100000000000001" hidden="1" customHeight="1" x14ac:dyDescent="0.2">
      <c r="A267" s="193"/>
      <c r="B267" s="186"/>
      <c r="C267" s="189"/>
      <c r="D267" s="189"/>
      <c r="E267" s="189"/>
      <c r="F267" s="189">
        <v>452110</v>
      </c>
      <c r="G267" s="264" t="s">
        <v>509</v>
      </c>
      <c r="H267" s="191">
        <v>0</v>
      </c>
      <c r="I267" s="191">
        <f t="shared" ref="I267" si="58">J267-H267</f>
        <v>55000</v>
      </c>
      <c r="J267" s="191">
        <v>55000</v>
      </c>
      <c r="K267" s="341"/>
    </row>
    <row r="268" spans="1:11" ht="20.100000000000001" customHeight="1" x14ac:dyDescent="0.2">
      <c r="A268" s="99"/>
      <c r="B268" s="100"/>
      <c r="C268" s="100"/>
      <c r="D268" s="100"/>
      <c r="E268" s="100"/>
      <c r="F268" s="100"/>
      <c r="G268" s="101" t="s">
        <v>73</v>
      </c>
      <c r="H268" s="89">
        <f>H230+H4</f>
        <v>3417954.71</v>
      </c>
      <c r="I268" s="89">
        <f>I230+I4</f>
        <v>211965.26</v>
      </c>
      <c r="J268" s="89">
        <f>J230+J4</f>
        <v>3629919.97</v>
      </c>
      <c r="K268" s="339"/>
    </row>
    <row r="269" spans="1:11" ht="20.100000000000001" customHeight="1" x14ac:dyDescent="0.2">
      <c r="A269" s="102"/>
      <c r="B269" s="102"/>
      <c r="C269" s="102"/>
      <c r="D269" s="102"/>
      <c r="E269" s="102"/>
      <c r="F269" s="261"/>
      <c r="G269" s="261"/>
      <c r="H269" s="207"/>
      <c r="I269" s="297"/>
      <c r="J269" s="297"/>
      <c r="K269" s="339"/>
    </row>
    <row r="270" spans="1:11" ht="20.100000000000001" customHeight="1" x14ac:dyDescent="0.2">
      <c r="A270" s="102"/>
      <c r="B270" s="102"/>
      <c r="C270" s="102"/>
      <c r="D270" s="102"/>
      <c r="E270" s="102"/>
      <c r="F270" s="261"/>
      <c r="G270" s="261"/>
      <c r="H270" s="207"/>
      <c r="I270" s="297"/>
      <c r="J270" s="297"/>
      <c r="K270" s="339"/>
    </row>
    <row r="271" spans="1:11" ht="20.100000000000001" customHeight="1" x14ac:dyDescent="0.2">
      <c r="G271" s="97"/>
    </row>
    <row r="272" spans="1:11" ht="20.100000000000001" customHeight="1" x14ac:dyDescent="0.2">
      <c r="H272" s="97"/>
    </row>
    <row r="274" spans="8:8" x14ac:dyDescent="0.2">
      <c r="H274" s="97"/>
    </row>
    <row r="276" spans="8:8" x14ac:dyDescent="0.2">
      <c r="H276" s="97"/>
    </row>
    <row r="283" spans="8:8" x14ac:dyDescent="0.2">
      <c r="H283" s="97"/>
    </row>
  </sheetData>
  <mergeCells count="1">
    <mergeCell ref="A1:J1"/>
  </mergeCells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712"/>
  <sheetViews>
    <sheetView view="pageBreakPreview" zoomScaleNormal="100" zoomScaleSheetLayoutView="100" workbookViewId="0">
      <selection sqref="A1:K1"/>
    </sheetView>
  </sheetViews>
  <sheetFormatPr defaultColWidth="9.140625" defaultRowHeight="12.75" x14ac:dyDescent="0.25"/>
  <cols>
    <col min="1" max="2" width="5.7109375" style="179" customWidth="1"/>
    <col min="3" max="3" width="7.7109375" style="179" hidden="1" customWidth="1"/>
    <col min="4" max="4" width="9.28515625" style="179" hidden="1" customWidth="1"/>
    <col min="5" max="5" width="8.7109375" style="179" hidden="1" customWidth="1"/>
    <col min="6" max="6" width="9.5703125" style="411" hidden="1" customWidth="1"/>
    <col min="7" max="7" width="6.85546875" style="184" customWidth="1"/>
    <col min="8" max="8" width="40" style="411" customWidth="1"/>
    <col min="9" max="10" width="15.140625" style="413" customWidth="1"/>
    <col min="11" max="11" width="14.42578125" style="413" customWidth="1"/>
    <col min="12" max="12" width="17" style="412" hidden="1" customWidth="1"/>
    <col min="13" max="13" width="16.85546875" style="412" hidden="1" customWidth="1"/>
    <col min="14" max="14" width="20.7109375" style="13" customWidth="1"/>
    <col min="15" max="15" width="9.85546875" style="14" customWidth="1"/>
    <col min="16" max="16" width="14.140625" style="411" customWidth="1"/>
    <col min="17" max="18" width="13.28515625" style="268" bestFit="1" customWidth="1"/>
    <col min="19" max="20" width="12.7109375" style="194" bestFit="1" customWidth="1"/>
    <col min="21" max="16384" width="9.140625" style="194"/>
  </cols>
  <sheetData>
    <row r="1" spans="1:20" ht="25.5" customHeight="1" x14ac:dyDescent="0.25">
      <c r="A1" s="459" t="s">
        <v>74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</row>
    <row r="2" spans="1:20" s="21" customFormat="1" ht="93" customHeight="1" x14ac:dyDescent="0.25">
      <c r="A2" s="208" t="s">
        <v>75</v>
      </c>
      <c r="B2" s="208" t="s">
        <v>76</v>
      </c>
      <c r="C2" s="208" t="s">
        <v>10</v>
      </c>
      <c r="D2" s="208" t="s">
        <v>77</v>
      </c>
      <c r="E2" s="208" t="s">
        <v>437</v>
      </c>
      <c r="F2" s="202"/>
      <c r="G2" s="108" t="s">
        <v>79</v>
      </c>
      <c r="H2" s="209" t="s">
        <v>80</v>
      </c>
      <c r="I2" s="278" t="s">
        <v>510</v>
      </c>
      <c r="J2" s="278" t="s">
        <v>413</v>
      </c>
      <c r="K2" s="278" t="s">
        <v>511</v>
      </c>
      <c r="L2" s="16" t="s">
        <v>1</v>
      </c>
      <c r="M2" s="17" t="s">
        <v>368</v>
      </c>
      <c r="N2" s="18"/>
      <c r="O2" s="19"/>
      <c r="P2" s="270"/>
      <c r="Q2" s="20"/>
      <c r="R2" s="20"/>
    </row>
    <row r="3" spans="1:20" s="72" customFormat="1" ht="12.75" customHeight="1" x14ac:dyDescent="0.25">
      <c r="A3" s="210">
        <v>1</v>
      </c>
      <c r="B3" s="210">
        <v>2</v>
      </c>
      <c r="C3" s="210">
        <v>3</v>
      </c>
      <c r="D3" s="210">
        <v>4</v>
      </c>
      <c r="E3" s="210">
        <v>5</v>
      </c>
      <c r="F3" s="210">
        <v>6</v>
      </c>
      <c r="G3" s="210">
        <v>3</v>
      </c>
      <c r="H3" s="104">
        <v>4</v>
      </c>
      <c r="I3" s="279">
        <v>5</v>
      </c>
      <c r="J3" s="279">
        <v>6</v>
      </c>
      <c r="K3" s="279">
        <v>7</v>
      </c>
      <c r="L3" s="69">
        <v>6</v>
      </c>
      <c r="M3" s="69">
        <v>7</v>
      </c>
      <c r="N3" s="256"/>
      <c r="O3" s="70"/>
      <c r="P3" s="271"/>
      <c r="Q3" s="71"/>
      <c r="R3" s="71"/>
    </row>
    <row r="4" spans="1:20" ht="28.5" customHeight="1" x14ac:dyDescent="0.25">
      <c r="A4" s="253"/>
      <c r="B4" s="253"/>
      <c r="C4" s="253"/>
      <c r="D4" s="253"/>
      <c r="E4" s="253"/>
      <c r="F4" s="254"/>
      <c r="G4" s="439"/>
      <c r="H4" s="440" t="s">
        <v>535</v>
      </c>
      <c r="I4" s="438"/>
      <c r="J4" s="438"/>
      <c r="K4" s="438"/>
      <c r="L4" s="22"/>
      <c r="M4" s="22"/>
      <c r="N4" s="23"/>
      <c r="O4" s="267"/>
      <c r="P4" s="265"/>
      <c r="Q4" s="266"/>
      <c r="S4" s="269"/>
    </row>
    <row r="5" spans="1:20" ht="30" customHeight="1" x14ac:dyDescent="0.25">
      <c r="A5" s="345"/>
      <c r="B5" s="345"/>
      <c r="C5" s="345"/>
      <c r="D5" s="345"/>
      <c r="E5" s="345"/>
      <c r="F5" s="313"/>
      <c r="G5" s="347"/>
      <c r="H5" s="349" t="s">
        <v>476</v>
      </c>
      <c r="I5" s="353"/>
      <c r="J5" s="353"/>
      <c r="K5" s="353"/>
      <c r="L5" s="24"/>
      <c r="M5" s="24"/>
      <c r="N5" s="25"/>
      <c r="O5" s="267"/>
      <c r="Q5" s="266"/>
    </row>
    <row r="6" spans="1:20" s="21" customFormat="1" ht="20.100000000000001" customHeight="1" x14ac:dyDescent="0.25">
      <c r="A6" s="172">
        <v>3</v>
      </c>
      <c r="B6" s="172"/>
      <c r="C6" s="172"/>
      <c r="D6" s="172"/>
      <c r="E6" s="172"/>
      <c r="F6" s="42"/>
      <c r="G6" s="211"/>
      <c r="H6" s="43" t="s">
        <v>81</v>
      </c>
      <c r="I6" s="281">
        <f>I7+I45</f>
        <v>1266000</v>
      </c>
      <c r="J6" s="281">
        <f t="shared" ref="J6:K6" si="0">J7+J45</f>
        <v>134000</v>
      </c>
      <c r="K6" s="281">
        <f t="shared" si="0"/>
        <v>1400000</v>
      </c>
      <c r="L6" s="27">
        <f>L7+L45</f>
        <v>6095000</v>
      </c>
      <c r="M6" s="27">
        <f>M7+M45</f>
        <v>6095000</v>
      </c>
      <c r="N6" s="410"/>
      <c r="O6" s="196"/>
      <c r="P6" s="195"/>
      <c r="Q6" s="20"/>
      <c r="R6" s="29"/>
    </row>
    <row r="7" spans="1:20" s="21" customFormat="1" ht="20.100000000000001" customHeight="1" x14ac:dyDescent="0.25">
      <c r="A7" s="172"/>
      <c r="B7" s="172">
        <v>31</v>
      </c>
      <c r="C7" s="172"/>
      <c r="D7" s="172"/>
      <c r="E7" s="172"/>
      <c r="F7" s="42"/>
      <c r="G7" s="181" t="s">
        <v>475</v>
      </c>
      <c r="H7" s="43" t="s">
        <v>13</v>
      </c>
      <c r="I7" s="281">
        <f>I8+I21+I35-3990</f>
        <v>1027150</v>
      </c>
      <c r="J7" s="281">
        <f>J8+J21+J35</f>
        <v>105400</v>
      </c>
      <c r="K7" s="281">
        <f>K8+K21+K35-3990</f>
        <v>1132550</v>
      </c>
      <c r="L7" s="30">
        <f>L8+L21+L35</f>
        <v>5176300</v>
      </c>
      <c r="M7" s="30">
        <f>M8+M21+M35</f>
        <v>5176300</v>
      </c>
      <c r="N7" s="410"/>
      <c r="O7" s="196"/>
      <c r="P7" s="270"/>
      <c r="Q7" s="29"/>
      <c r="R7" s="29"/>
    </row>
    <row r="8" spans="1:20" s="21" customFormat="1" ht="20.100000000000001" hidden="1" customHeight="1" x14ac:dyDescent="0.25">
      <c r="A8" s="172"/>
      <c r="B8" s="172"/>
      <c r="C8" s="172">
        <v>311</v>
      </c>
      <c r="D8" s="172"/>
      <c r="E8" s="172"/>
      <c r="F8" s="42"/>
      <c r="G8" s="181" t="s">
        <v>475</v>
      </c>
      <c r="H8" s="43" t="s">
        <v>13</v>
      </c>
      <c r="I8" s="281">
        <f>I9+I17+I14</f>
        <v>853640</v>
      </c>
      <c r="J8" s="281">
        <f>J9+J17+J14</f>
        <v>95000</v>
      </c>
      <c r="K8" s="281">
        <f>K9+K17+K14</f>
        <v>948640</v>
      </c>
      <c r="L8" s="31">
        <f>L9+L17</f>
        <v>4700000</v>
      </c>
      <c r="M8" s="31">
        <f>M9+M17</f>
        <v>4700000</v>
      </c>
      <c r="N8" s="410"/>
      <c r="O8" s="196"/>
      <c r="P8" s="195"/>
      <c r="Q8" s="20"/>
      <c r="R8" s="20"/>
      <c r="T8" s="32"/>
    </row>
    <row r="9" spans="1:20" ht="20.100000000000001" hidden="1" customHeight="1" x14ac:dyDescent="0.25">
      <c r="A9" s="174"/>
      <c r="B9" s="174"/>
      <c r="C9" s="174"/>
      <c r="D9" s="174">
        <v>3111</v>
      </c>
      <c r="E9" s="174"/>
      <c r="F9" s="44"/>
      <c r="G9" s="181" t="s">
        <v>475</v>
      </c>
      <c r="H9" s="43" t="s">
        <v>13</v>
      </c>
      <c r="I9" s="282">
        <f t="shared" ref="I9:M9" si="1">I10</f>
        <v>770000</v>
      </c>
      <c r="J9" s="282">
        <f t="shared" si="1"/>
        <v>87000</v>
      </c>
      <c r="K9" s="282">
        <f t="shared" si="1"/>
        <v>857000</v>
      </c>
      <c r="L9" s="34">
        <f t="shared" si="1"/>
        <v>4300000</v>
      </c>
      <c r="M9" s="34">
        <f t="shared" si="1"/>
        <v>4300000</v>
      </c>
      <c r="N9" s="410"/>
      <c r="O9" s="196"/>
      <c r="P9" s="272"/>
      <c r="Q9" s="35"/>
    </row>
    <row r="10" spans="1:20" ht="20.100000000000001" hidden="1" customHeight="1" x14ac:dyDescent="0.25">
      <c r="A10" s="174"/>
      <c r="B10" s="174"/>
      <c r="C10" s="174"/>
      <c r="D10" s="174"/>
      <c r="E10" s="174">
        <v>31111</v>
      </c>
      <c r="F10" s="44"/>
      <c r="G10" s="181" t="s">
        <v>475</v>
      </c>
      <c r="H10" s="43" t="s">
        <v>13</v>
      </c>
      <c r="I10" s="282">
        <f>I11+I12+I13</f>
        <v>770000</v>
      </c>
      <c r="J10" s="282">
        <f>J11+J12+J13</f>
        <v>87000</v>
      </c>
      <c r="K10" s="282">
        <f>K11+K12+K13</f>
        <v>857000</v>
      </c>
      <c r="L10" s="34">
        <f>L11</f>
        <v>4300000</v>
      </c>
      <c r="M10" s="34">
        <f>M11</f>
        <v>4300000</v>
      </c>
      <c r="N10" s="410"/>
      <c r="O10" s="196"/>
      <c r="P10" s="273"/>
    </row>
    <row r="11" spans="1:20" ht="15" hidden="1" customHeight="1" x14ac:dyDescent="0.25">
      <c r="A11" s="174"/>
      <c r="B11" s="174"/>
      <c r="C11" s="174"/>
      <c r="D11" s="174"/>
      <c r="E11" s="174"/>
      <c r="F11" s="44">
        <v>311110</v>
      </c>
      <c r="G11" s="181" t="s">
        <v>475</v>
      </c>
      <c r="H11" s="43" t="s">
        <v>13</v>
      </c>
      <c r="I11" s="395">
        <f>692000+35000+10000</f>
        <v>737000</v>
      </c>
      <c r="J11" s="395">
        <f>K11-I11</f>
        <v>83000</v>
      </c>
      <c r="K11" s="395">
        <v>820000</v>
      </c>
      <c r="L11" s="34">
        <v>4300000</v>
      </c>
      <c r="M11" s="34">
        <v>4300000</v>
      </c>
      <c r="N11" s="410"/>
      <c r="O11" s="196"/>
      <c r="P11" s="68"/>
    </row>
    <row r="12" spans="1:20" ht="15" hidden="1" customHeight="1" x14ac:dyDescent="0.25">
      <c r="A12" s="174"/>
      <c r="B12" s="174"/>
      <c r="C12" s="174"/>
      <c r="D12" s="174"/>
      <c r="E12" s="174"/>
      <c r="F12" s="44">
        <v>311111</v>
      </c>
      <c r="G12" s="181" t="s">
        <v>475</v>
      </c>
      <c r="H12" s="43" t="s">
        <v>13</v>
      </c>
      <c r="I12" s="282">
        <f>30500+2500</f>
        <v>33000</v>
      </c>
      <c r="J12" s="282">
        <f>K12-I12</f>
        <v>4000</v>
      </c>
      <c r="K12" s="282">
        <v>37000</v>
      </c>
      <c r="L12" s="34"/>
      <c r="M12" s="34"/>
      <c r="N12" s="410"/>
      <c r="O12" s="196"/>
      <c r="P12" s="68"/>
    </row>
    <row r="13" spans="1:20" ht="15" hidden="1" customHeight="1" x14ac:dyDescent="0.25">
      <c r="A13" s="174"/>
      <c r="B13" s="174"/>
      <c r="C13" s="174"/>
      <c r="D13" s="174"/>
      <c r="E13" s="174"/>
      <c r="F13" s="405">
        <v>311114</v>
      </c>
      <c r="G13" s="406" t="s">
        <v>448</v>
      </c>
      <c r="H13" s="43" t="s">
        <v>13</v>
      </c>
      <c r="I13" s="401">
        <v>0</v>
      </c>
      <c r="J13" s="401">
        <f>K13-I13</f>
        <v>0</v>
      </c>
      <c r="K13" s="401">
        <v>0</v>
      </c>
      <c r="L13" s="34"/>
      <c r="M13" s="34"/>
      <c r="N13" s="410"/>
      <c r="O13" s="196"/>
      <c r="P13" s="68"/>
    </row>
    <row r="14" spans="1:20" ht="14.25" hidden="1" customHeight="1" x14ac:dyDescent="0.25">
      <c r="A14" s="174"/>
      <c r="B14" s="174"/>
      <c r="C14" s="174"/>
      <c r="D14" s="174">
        <v>3113</v>
      </c>
      <c r="E14" s="174"/>
      <c r="F14" s="44"/>
      <c r="G14" s="181" t="s">
        <v>475</v>
      </c>
      <c r="H14" s="43" t="s">
        <v>13</v>
      </c>
      <c r="I14" s="282">
        <f t="shared" ref="I14:K15" si="2">I15</f>
        <v>4650</v>
      </c>
      <c r="J14" s="282">
        <f t="shared" si="2"/>
        <v>0</v>
      </c>
      <c r="K14" s="282">
        <f t="shared" si="2"/>
        <v>4650</v>
      </c>
      <c r="L14" s="34"/>
      <c r="M14" s="34"/>
      <c r="N14" s="410"/>
      <c r="O14" s="196"/>
      <c r="T14" s="37"/>
    </row>
    <row r="15" spans="1:20" ht="15" hidden="1" customHeight="1" x14ac:dyDescent="0.25">
      <c r="A15" s="174"/>
      <c r="B15" s="174"/>
      <c r="C15" s="174"/>
      <c r="D15" s="174"/>
      <c r="E15" s="174">
        <v>31131</v>
      </c>
      <c r="F15" s="44"/>
      <c r="G15" s="181" t="s">
        <v>475</v>
      </c>
      <c r="H15" s="43" t="s">
        <v>13</v>
      </c>
      <c r="I15" s="282">
        <f t="shared" si="2"/>
        <v>4650</v>
      </c>
      <c r="J15" s="282">
        <f t="shared" si="2"/>
        <v>0</v>
      </c>
      <c r="K15" s="282">
        <f t="shared" si="2"/>
        <v>4650</v>
      </c>
      <c r="L15" s="34"/>
      <c r="M15" s="34"/>
      <c r="N15" s="410"/>
      <c r="O15" s="196"/>
    </row>
    <row r="16" spans="1:20" ht="15" hidden="1" customHeight="1" x14ac:dyDescent="0.25">
      <c r="A16" s="174"/>
      <c r="B16" s="174"/>
      <c r="C16" s="174"/>
      <c r="D16" s="174"/>
      <c r="E16" s="174"/>
      <c r="F16" s="44">
        <v>311310</v>
      </c>
      <c r="G16" s="181" t="s">
        <v>475</v>
      </c>
      <c r="H16" s="43" t="s">
        <v>13</v>
      </c>
      <c r="I16" s="282">
        <f>4650</f>
        <v>4650</v>
      </c>
      <c r="J16" s="282">
        <f>K16-I16</f>
        <v>0</v>
      </c>
      <c r="K16" s="282">
        <f>4650</f>
        <v>4650</v>
      </c>
      <c r="L16" s="34"/>
      <c r="M16" s="34"/>
      <c r="N16" s="410"/>
      <c r="O16" s="196"/>
    </row>
    <row r="17" spans="1:20" ht="20.100000000000001" hidden="1" customHeight="1" x14ac:dyDescent="0.25">
      <c r="A17" s="174"/>
      <c r="B17" s="174"/>
      <c r="C17" s="174"/>
      <c r="D17" s="174">
        <v>3114</v>
      </c>
      <c r="E17" s="174"/>
      <c r="F17" s="44"/>
      <c r="G17" s="181" t="s">
        <v>475</v>
      </c>
      <c r="H17" s="43" t="s">
        <v>13</v>
      </c>
      <c r="I17" s="282">
        <f>I18</f>
        <v>78990</v>
      </c>
      <c r="J17" s="282">
        <f>J18</f>
        <v>8000</v>
      </c>
      <c r="K17" s="282">
        <f>K18</f>
        <v>86990</v>
      </c>
      <c r="L17" s="34">
        <f>L18</f>
        <v>400000</v>
      </c>
      <c r="M17" s="34">
        <f>M18</f>
        <v>400000</v>
      </c>
      <c r="N17" s="410"/>
      <c r="O17" s="196"/>
      <c r="P17" s="68"/>
      <c r="R17" s="35"/>
    </row>
    <row r="18" spans="1:20" ht="20.100000000000001" hidden="1" customHeight="1" x14ac:dyDescent="0.25">
      <c r="A18" s="174"/>
      <c r="B18" s="174"/>
      <c r="C18" s="174"/>
      <c r="D18" s="174"/>
      <c r="E18" s="174">
        <v>31141</v>
      </c>
      <c r="F18" s="44"/>
      <c r="G18" s="181" t="s">
        <v>475</v>
      </c>
      <c r="H18" s="43" t="s">
        <v>13</v>
      </c>
      <c r="I18" s="282">
        <f t="shared" ref="I18:K18" si="3">I19+I20</f>
        <v>78990</v>
      </c>
      <c r="J18" s="282">
        <f t="shared" si="3"/>
        <v>8000</v>
      </c>
      <c r="K18" s="282">
        <f t="shared" si="3"/>
        <v>86990</v>
      </c>
      <c r="L18" s="34">
        <f>L19</f>
        <v>400000</v>
      </c>
      <c r="M18" s="34">
        <f>M19</f>
        <v>400000</v>
      </c>
      <c r="N18" s="410"/>
      <c r="O18" s="196"/>
      <c r="P18" s="68"/>
      <c r="S18" s="37"/>
      <c r="T18" s="37"/>
    </row>
    <row r="19" spans="1:20" ht="15" hidden="1" customHeight="1" x14ac:dyDescent="0.25">
      <c r="A19" s="174"/>
      <c r="B19" s="174"/>
      <c r="C19" s="174"/>
      <c r="D19" s="174"/>
      <c r="E19" s="174"/>
      <c r="F19" s="44">
        <v>311410</v>
      </c>
      <c r="G19" s="181" t="s">
        <v>475</v>
      </c>
      <c r="H19" s="43" t="s">
        <v>13</v>
      </c>
      <c r="I19" s="282">
        <f>60000+3000+12000</f>
        <v>75000</v>
      </c>
      <c r="J19" s="282">
        <f>K19-I19</f>
        <v>8000</v>
      </c>
      <c r="K19" s="282">
        <v>83000</v>
      </c>
      <c r="L19" s="34">
        <v>400000</v>
      </c>
      <c r="M19" s="34">
        <v>400000</v>
      </c>
      <c r="N19" s="410"/>
      <c r="O19" s="196"/>
      <c r="P19" s="68"/>
      <c r="S19" s="37"/>
      <c r="T19" s="37"/>
    </row>
    <row r="20" spans="1:20" ht="15" hidden="1" customHeight="1" x14ac:dyDescent="0.25">
      <c r="A20" s="174"/>
      <c r="B20" s="174"/>
      <c r="C20" s="174"/>
      <c r="D20" s="174"/>
      <c r="E20" s="174"/>
      <c r="F20" s="409">
        <v>311411</v>
      </c>
      <c r="G20" s="407" t="s">
        <v>448</v>
      </c>
      <c r="H20" s="43" t="s">
        <v>13</v>
      </c>
      <c r="I20" s="408">
        <v>3990</v>
      </c>
      <c r="J20" s="408">
        <f>K20-I20</f>
        <v>0</v>
      </c>
      <c r="K20" s="408">
        <v>3990</v>
      </c>
      <c r="L20" s="34"/>
      <c r="M20" s="34"/>
      <c r="N20" s="410"/>
      <c r="O20" s="196"/>
      <c r="P20" s="68"/>
      <c r="S20" s="37"/>
      <c r="T20" s="37"/>
    </row>
    <row r="21" spans="1:20" s="21" customFormat="1" ht="20.100000000000001" hidden="1" customHeight="1" x14ac:dyDescent="0.25">
      <c r="A21" s="172"/>
      <c r="B21" s="172"/>
      <c r="C21" s="172">
        <v>312</v>
      </c>
      <c r="D21" s="172"/>
      <c r="E21" s="172"/>
      <c r="F21" s="42"/>
      <c r="G21" s="181" t="s">
        <v>475</v>
      </c>
      <c r="H21" s="43" t="s">
        <v>13</v>
      </c>
      <c r="I21" s="281">
        <f t="shared" ref="I21:K21" si="4">I22</f>
        <v>33460</v>
      </c>
      <c r="J21" s="281">
        <f t="shared" si="4"/>
        <v>-2030</v>
      </c>
      <c r="K21" s="281">
        <f t="shared" si="4"/>
        <v>31430</v>
      </c>
      <c r="L21" s="31">
        <f>L22</f>
        <v>33700</v>
      </c>
      <c r="M21" s="31">
        <f>M22</f>
        <v>33700</v>
      </c>
      <c r="N21" s="410"/>
      <c r="O21" s="196"/>
      <c r="P21" s="195"/>
      <c r="Q21" s="20"/>
      <c r="R21" s="20"/>
    </row>
    <row r="22" spans="1:20" ht="20.100000000000001" hidden="1" customHeight="1" x14ac:dyDescent="0.25">
      <c r="A22" s="174"/>
      <c r="B22" s="174"/>
      <c r="C22" s="174"/>
      <c r="D22" s="174">
        <v>3121</v>
      </c>
      <c r="E22" s="174"/>
      <c r="F22" s="44"/>
      <c r="G22" s="181" t="s">
        <v>475</v>
      </c>
      <c r="H22" s="43" t="s">
        <v>13</v>
      </c>
      <c r="I22" s="282">
        <f>I23+I25+I33+I31+I27</f>
        <v>33460</v>
      </c>
      <c r="J22" s="282">
        <f>J23+J25+J33+J31+J27</f>
        <v>-2030</v>
      </c>
      <c r="K22" s="282">
        <f>K23+K25+K33+K31+K27</f>
        <v>31430</v>
      </c>
      <c r="L22" s="34">
        <f>L23+L25+L33</f>
        <v>33700</v>
      </c>
      <c r="M22" s="34">
        <f>M23+M25+M33</f>
        <v>33700</v>
      </c>
      <c r="N22" s="410"/>
      <c r="O22" s="196"/>
      <c r="P22" s="68"/>
    </row>
    <row r="23" spans="1:20" ht="20.100000000000001" hidden="1" customHeight="1" x14ac:dyDescent="0.25">
      <c r="A23" s="174"/>
      <c r="B23" s="174"/>
      <c r="C23" s="174"/>
      <c r="D23" s="174"/>
      <c r="E23" s="171" t="s">
        <v>84</v>
      </c>
      <c r="F23" s="38"/>
      <c r="G23" s="181" t="s">
        <v>475</v>
      </c>
      <c r="H23" s="43" t="s">
        <v>13</v>
      </c>
      <c r="I23" s="282">
        <f>I24</f>
        <v>3860</v>
      </c>
      <c r="J23" s="282">
        <f>J24</f>
        <v>-1460</v>
      </c>
      <c r="K23" s="282">
        <f>K24</f>
        <v>2400</v>
      </c>
      <c r="L23" s="34">
        <f>L24</f>
        <v>14000</v>
      </c>
      <c r="M23" s="34">
        <f>M24</f>
        <v>14000</v>
      </c>
      <c r="N23" s="410"/>
      <c r="O23" s="196"/>
    </row>
    <row r="24" spans="1:20" ht="20.100000000000001" hidden="1" customHeight="1" x14ac:dyDescent="0.25">
      <c r="A24" s="174"/>
      <c r="B24" s="174"/>
      <c r="C24" s="174"/>
      <c r="D24" s="174"/>
      <c r="E24" s="171"/>
      <c r="F24" s="38" t="s">
        <v>86</v>
      </c>
      <c r="G24" s="181" t="s">
        <v>475</v>
      </c>
      <c r="H24" s="43" t="s">
        <v>13</v>
      </c>
      <c r="I24" s="282">
        <f>1860+2000</f>
        <v>3860</v>
      </c>
      <c r="J24" s="282">
        <f>K24-I24</f>
        <v>-1460</v>
      </c>
      <c r="K24" s="282">
        <v>2400</v>
      </c>
      <c r="L24" s="34">
        <v>14000</v>
      </c>
      <c r="M24" s="34">
        <v>14000</v>
      </c>
      <c r="N24" s="410"/>
      <c r="O24" s="196"/>
    </row>
    <row r="25" spans="1:20" ht="20.100000000000001" hidden="1" customHeight="1" x14ac:dyDescent="0.25">
      <c r="A25" s="174"/>
      <c r="B25" s="174"/>
      <c r="C25" s="174"/>
      <c r="D25" s="174"/>
      <c r="E25" s="171" t="s">
        <v>87</v>
      </c>
      <c r="F25" s="38"/>
      <c r="G25" s="181" t="s">
        <v>475</v>
      </c>
      <c r="H25" s="43" t="s">
        <v>13</v>
      </c>
      <c r="I25" s="282">
        <f>I26</f>
        <v>4400</v>
      </c>
      <c r="J25" s="282">
        <f>J26</f>
        <v>0</v>
      </c>
      <c r="K25" s="282">
        <f>K26</f>
        <v>4400</v>
      </c>
      <c r="L25" s="34">
        <f>L26</f>
        <v>2000</v>
      </c>
      <c r="M25" s="34">
        <f>M26</f>
        <v>2000</v>
      </c>
      <c r="N25" s="410"/>
      <c r="O25" s="196"/>
      <c r="P25" s="68"/>
    </row>
    <row r="26" spans="1:20" ht="20.100000000000001" hidden="1" customHeight="1" x14ac:dyDescent="0.25">
      <c r="A26" s="174"/>
      <c r="B26" s="174"/>
      <c r="C26" s="174"/>
      <c r="D26" s="174"/>
      <c r="E26" s="171"/>
      <c r="F26" s="38" t="s">
        <v>89</v>
      </c>
      <c r="G26" s="181" t="s">
        <v>475</v>
      </c>
      <c r="H26" s="43" t="s">
        <v>13</v>
      </c>
      <c r="I26" s="282">
        <v>4400</v>
      </c>
      <c r="J26" s="282">
        <f>K26-I26</f>
        <v>0</v>
      </c>
      <c r="K26" s="282">
        <v>4400</v>
      </c>
      <c r="L26" s="34">
        <v>2000</v>
      </c>
      <c r="M26" s="34">
        <v>2000</v>
      </c>
      <c r="N26" s="410"/>
      <c r="O26" s="196"/>
      <c r="P26" s="68"/>
    </row>
    <row r="27" spans="1:20" ht="20.100000000000001" hidden="1" customHeight="1" x14ac:dyDescent="0.25">
      <c r="A27" s="174"/>
      <c r="B27" s="174"/>
      <c r="C27" s="174"/>
      <c r="D27" s="174"/>
      <c r="E27" s="171" t="s">
        <v>90</v>
      </c>
      <c r="F27" s="38"/>
      <c r="G27" s="181" t="s">
        <v>475</v>
      </c>
      <c r="H27" s="43" t="s">
        <v>13</v>
      </c>
      <c r="I27" s="282">
        <f>I28</f>
        <v>1900</v>
      </c>
      <c r="J27" s="282">
        <f>J28</f>
        <v>-570</v>
      </c>
      <c r="K27" s="282">
        <f>K28</f>
        <v>1330</v>
      </c>
      <c r="L27" s="34"/>
      <c r="M27" s="34"/>
      <c r="N27" s="410"/>
      <c r="O27" s="196"/>
    </row>
    <row r="28" spans="1:20" ht="20.100000000000001" hidden="1" customHeight="1" x14ac:dyDescent="0.25">
      <c r="A28" s="174"/>
      <c r="B28" s="174"/>
      <c r="C28" s="174"/>
      <c r="D28" s="174"/>
      <c r="E28" s="171"/>
      <c r="F28" s="38" t="s">
        <v>92</v>
      </c>
      <c r="G28" s="181" t="s">
        <v>475</v>
      </c>
      <c r="H28" s="43" t="s">
        <v>13</v>
      </c>
      <c r="I28" s="282">
        <v>1900</v>
      </c>
      <c r="J28" s="282">
        <f>K28-I28</f>
        <v>-570</v>
      </c>
      <c r="K28" s="282">
        <v>1330</v>
      </c>
      <c r="L28" s="34"/>
      <c r="M28" s="34"/>
      <c r="N28" s="410"/>
      <c r="O28" s="196"/>
    </row>
    <row r="29" spans="1:20" ht="20.100000000000001" hidden="1" customHeight="1" x14ac:dyDescent="0.25">
      <c r="A29" s="174"/>
      <c r="B29" s="174"/>
      <c r="C29" s="174"/>
      <c r="D29" s="174"/>
      <c r="E29" s="171" t="s">
        <v>93</v>
      </c>
      <c r="F29" s="38"/>
      <c r="G29" s="181" t="s">
        <v>475</v>
      </c>
      <c r="H29" s="43" t="s">
        <v>13</v>
      </c>
      <c r="I29" s="282"/>
      <c r="J29" s="282"/>
      <c r="K29" s="282"/>
      <c r="L29" s="34"/>
      <c r="M29" s="34"/>
      <c r="N29" s="410"/>
      <c r="O29" s="196"/>
    </row>
    <row r="30" spans="1:20" ht="20.100000000000001" hidden="1" customHeight="1" x14ac:dyDescent="0.25">
      <c r="A30" s="174"/>
      <c r="B30" s="174"/>
      <c r="C30" s="174"/>
      <c r="D30" s="174"/>
      <c r="E30" s="171"/>
      <c r="F30" s="38" t="s">
        <v>95</v>
      </c>
      <c r="G30" s="181" t="s">
        <v>475</v>
      </c>
      <c r="H30" s="43" t="s">
        <v>13</v>
      </c>
      <c r="I30" s="282"/>
      <c r="J30" s="282"/>
      <c r="K30" s="282"/>
      <c r="L30" s="34"/>
      <c r="M30" s="34"/>
      <c r="N30" s="410"/>
      <c r="O30" s="196"/>
    </row>
    <row r="31" spans="1:20" ht="20.100000000000001" hidden="1" customHeight="1" x14ac:dyDescent="0.25">
      <c r="A31" s="174"/>
      <c r="B31" s="174"/>
      <c r="C31" s="174"/>
      <c r="D31" s="174"/>
      <c r="E31" s="171" t="s">
        <v>297</v>
      </c>
      <c r="F31" s="38"/>
      <c r="G31" s="181" t="s">
        <v>475</v>
      </c>
      <c r="H31" s="43" t="s">
        <v>13</v>
      </c>
      <c r="I31" s="282">
        <f t="shared" ref="I31:K31" si="5">I32</f>
        <v>11000</v>
      </c>
      <c r="J31" s="282">
        <f t="shared" si="5"/>
        <v>0</v>
      </c>
      <c r="K31" s="282">
        <f t="shared" si="5"/>
        <v>11000</v>
      </c>
      <c r="L31" s="34"/>
      <c r="M31" s="34"/>
      <c r="N31" s="410"/>
      <c r="O31" s="196"/>
    </row>
    <row r="32" spans="1:20" ht="20.100000000000001" hidden="1" customHeight="1" x14ac:dyDescent="0.25">
      <c r="A32" s="174"/>
      <c r="B32" s="174"/>
      <c r="C32" s="174"/>
      <c r="D32" s="174"/>
      <c r="E32" s="171"/>
      <c r="F32" s="38" t="s">
        <v>299</v>
      </c>
      <c r="G32" s="181" t="s">
        <v>475</v>
      </c>
      <c r="H32" s="43" t="s">
        <v>13</v>
      </c>
      <c r="I32" s="282">
        <v>11000</v>
      </c>
      <c r="J32" s="282">
        <f>K32-I32</f>
        <v>0</v>
      </c>
      <c r="K32" s="282">
        <v>11000</v>
      </c>
      <c r="L32" s="34"/>
      <c r="M32" s="34"/>
      <c r="N32" s="410"/>
      <c r="O32" s="196"/>
    </row>
    <row r="33" spans="1:18" ht="20.100000000000001" hidden="1" customHeight="1" x14ac:dyDescent="0.25">
      <c r="A33" s="174"/>
      <c r="B33" s="174"/>
      <c r="C33" s="174"/>
      <c r="D33" s="174"/>
      <c r="E33" s="171" t="s">
        <v>96</v>
      </c>
      <c r="F33" s="38"/>
      <c r="G33" s="181" t="s">
        <v>475</v>
      </c>
      <c r="H33" s="43" t="s">
        <v>13</v>
      </c>
      <c r="I33" s="282">
        <f>I34</f>
        <v>12300</v>
      </c>
      <c r="J33" s="282">
        <f>J34</f>
        <v>0</v>
      </c>
      <c r="K33" s="282">
        <f>K34</f>
        <v>12300</v>
      </c>
      <c r="L33" s="34">
        <f>L34</f>
        <v>17700</v>
      </c>
      <c r="M33" s="34">
        <f>M34</f>
        <v>17700</v>
      </c>
      <c r="N33" s="410"/>
      <c r="O33" s="196"/>
    </row>
    <row r="34" spans="1:18" ht="34.5" hidden="1" customHeight="1" x14ac:dyDescent="0.25">
      <c r="A34" s="174"/>
      <c r="B34" s="174"/>
      <c r="C34" s="174"/>
      <c r="D34" s="174"/>
      <c r="E34" s="171"/>
      <c r="F34" s="38" t="s">
        <v>98</v>
      </c>
      <c r="G34" s="181" t="s">
        <v>475</v>
      </c>
      <c r="H34" s="43" t="s">
        <v>13</v>
      </c>
      <c r="I34" s="282">
        <v>12300</v>
      </c>
      <c r="J34" s="282">
        <f>K34-I34</f>
        <v>0</v>
      </c>
      <c r="K34" s="282">
        <v>12300</v>
      </c>
      <c r="L34" s="34">
        <v>17700</v>
      </c>
      <c r="M34" s="34">
        <v>17700</v>
      </c>
      <c r="N34" s="410"/>
      <c r="O34" s="196"/>
    </row>
    <row r="35" spans="1:18" s="21" customFormat="1" ht="20.100000000000001" hidden="1" customHeight="1" x14ac:dyDescent="0.25">
      <c r="A35" s="172"/>
      <c r="B35" s="172"/>
      <c r="C35" s="172">
        <v>313</v>
      </c>
      <c r="D35" s="172"/>
      <c r="E35" s="172"/>
      <c r="F35" s="42"/>
      <c r="G35" s="181" t="s">
        <v>475</v>
      </c>
      <c r="H35" s="43" t="s">
        <v>13</v>
      </c>
      <c r="I35" s="281">
        <f>I36+I41</f>
        <v>144040</v>
      </c>
      <c r="J35" s="281">
        <f>J36+J41</f>
        <v>12430</v>
      </c>
      <c r="K35" s="281">
        <f>K36+K41</f>
        <v>156470</v>
      </c>
      <c r="L35" s="31">
        <f>L36+L41</f>
        <v>442600</v>
      </c>
      <c r="M35" s="31">
        <f>M36+M41</f>
        <v>442600</v>
      </c>
      <c r="N35" s="410"/>
      <c r="O35" s="196"/>
      <c r="P35" s="270"/>
      <c r="Q35" s="20"/>
      <c r="R35" s="20"/>
    </row>
    <row r="36" spans="1:18" ht="20.100000000000001" hidden="1" customHeight="1" x14ac:dyDescent="0.25">
      <c r="A36" s="174"/>
      <c r="B36" s="174"/>
      <c r="C36" s="174"/>
      <c r="D36" s="174">
        <v>3132</v>
      </c>
      <c r="E36" s="174"/>
      <c r="F36" s="44"/>
      <c r="G36" s="181" t="s">
        <v>475</v>
      </c>
      <c r="H36" s="43" t="s">
        <v>13</v>
      </c>
      <c r="I36" s="282">
        <f>I37+I39</f>
        <v>144040</v>
      </c>
      <c r="J36" s="282">
        <f>J37+J39</f>
        <v>12430</v>
      </c>
      <c r="K36" s="282">
        <f>K37+K39</f>
        <v>156470</v>
      </c>
      <c r="L36" s="34">
        <f>L37+L39</f>
        <v>392600</v>
      </c>
      <c r="M36" s="34">
        <f>M37+M39</f>
        <v>392600</v>
      </c>
      <c r="N36" s="410"/>
      <c r="O36" s="196"/>
    </row>
    <row r="37" spans="1:18" ht="20.100000000000001" hidden="1" customHeight="1" x14ac:dyDescent="0.25">
      <c r="A37" s="174"/>
      <c r="B37" s="174"/>
      <c r="C37" s="174"/>
      <c r="D37" s="174"/>
      <c r="E37" s="174">
        <v>31321</v>
      </c>
      <c r="F37" s="44"/>
      <c r="G37" s="181" t="s">
        <v>475</v>
      </c>
      <c r="H37" s="43" t="s">
        <v>13</v>
      </c>
      <c r="I37" s="282">
        <f>I38</f>
        <v>144040</v>
      </c>
      <c r="J37" s="282">
        <f>J38</f>
        <v>12430</v>
      </c>
      <c r="K37" s="282">
        <f>K38</f>
        <v>156470</v>
      </c>
      <c r="L37" s="34">
        <f>L38</f>
        <v>372600</v>
      </c>
      <c r="M37" s="34">
        <f>M38</f>
        <v>372600</v>
      </c>
      <c r="N37" s="410"/>
      <c r="O37" s="196"/>
    </row>
    <row r="38" spans="1:18" ht="20.100000000000001" hidden="1" customHeight="1" x14ac:dyDescent="0.25">
      <c r="A38" s="174"/>
      <c r="B38" s="174"/>
      <c r="C38" s="174"/>
      <c r="D38" s="174"/>
      <c r="E38" s="174"/>
      <c r="F38" s="44">
        <v>313210</v>
      </c>
      <c r="G38" s="181" t="s">
        <v>475</v>
      </c>
      <c r="H38" s="43" t="s">
        <v>13</v>
      </c>
      <c r="I38" s="282">
        <f>127640+6400+10000</f>
        <v>144040</v>
      </c>
      <c r="J38" s="282">
        <f>K38-I38</f>
        <v>12430</v>
      </c>
      <c r="K38" s="282">
        <f>157000-530</f>
        <v>156470</v>
      </c>
      <c r="L38" s="34">
        <v>372600</v>
      </c>
      <c r="M38" s="34">
        <v>372600</v>
      </c>
      <c r="N38" s="410"/>
      <c r="O38" s="196"/>
    </row>
    <row r="39" spans="1:18" ht="30" hidden="1" customHeight="1" x14ac:dyDescent="0.25">
      <c r="A39" s="174"/>
      <c r="B39" s="174"/>
      <c r="C39" s="174"/>
      <c r="D39" s="174"/>
      <c r="E39" s="174">
        <v>31322</v>
      </c>
      <c r="F39" s="44"/>
      <c r="G39" s="181" t="s">
        <v>475</v>
      </c>
      <c r="H39" s="43" t="s">
        <v>13</v>
      </c>
      <c r="I39" s="282">
        <f>I40</f>
        <v>0</v>
      </c>
      <c r="J39" s="282">
        <f>J40</f>
        <v>0</v>
      </c>
      <c r="K39" s="282">
        <f>K40</f>
        <v>0</v>
      </c>
      <c r="L39" s="34">
        <f>L40</f>
        <v>20000</v>
      </c>
      <c r="M39" s="34">
        <f>M40</f>
        <v>20000</v>
      </c>
      <c r="N39" s="410"/>
      <c r="O39" s="196"/>
      <c r="P39" s="68"/>
    </row>
    <row r="40" spans="1:18" ht="35.25" hidden="1" customHeight="1" x14ac:dyDescent="0.25">
      <c r="A40" s="174"/>
      <c r="B40" s="174"/>
      <c r="C40" s="174"/>
      <c r="D40" s="174"/>
      <c r="E40" s="174"/>
      <c r="F40" s="44">
        <v>313220</v>
      </c>
      <c r="G40" s="181" t="s">
        <v>475</v>
      </c>
      <c r="H40" s="43" t="s">
        <v>13</v>
      </c>
      <c r="I40" s="282">
        <v>0</v>
      </c>
      <c r="J40" s="282">
        <f>K40-I40</f>
        <v>0</v>
      </c>
      <c r="K40" s="282">
        <v>0</v>
      </c>
      <c r="L40" s="34">
        <v>20000</v>
      </c>
      <c r="M40" s="34">
        <v>20000</v>
      </c>
      <c r="N40" s="410"/>
      <c r="O40" s="196"/>
      <c r="P40" s="68"/>
    </row>
    <row r="41" spans="1:18" ht="30" hidden="1" customHeight="1" x14ac:dyDescent="0.25">
      <c r="A41" s="174"/>
      <c r="B41" s="174"/>
      <c r="C41" s="174"/>
      <c r="D41" s="174">
        <v>3133</v>
      </c>
      <c r="E41" s="174"/>
      <c r="F41" s="44"/>
      <c r="G41" s="181" t="s">
        <v>475</v>
      </c>
      <c r="H41" s="43" t="s">
        <v>13</v>
      </c>
      <c r="I41" s="282">
        <f t="shared" ref="I41:M41" si="6">I42</f>
        <v>0</v>
      </c>
      <c r="J41" s="282">
        <f t="shared" si="6"/>
        <v>0</v>
      </c>
      <c r="K41" s="282">
        <f t="shared" si="6"/>
        <v>0</v>
      </c>
      <c r="L41" s="34">
        <f t="shared" si="6"/>
        <v>50000</v>
      </c>
      <c r="M41" s="34">
        <f t="shared" si="6"/>
        <v>50000</v>
      </c>
      <c r="N41" s="410"/>
      <c r="O41" s="196"/>
      <c r="P41" s="68"/>
      <c r="Q41" s="35"/>
    </row>
    <row r="42" spans="1:18" ht="30" hidden="1" customHeight="1" x14ac:dyDescent="0.25">
      <c r="A42" s="174"/>
      <c r="B42" s="174"/>
      <c r="C42" s="174"/>
      <c r="D42" s="174"/>
      <c r="E42" s="174">
        <v>31332</v>
      </c>
      <c r="F42" s="44"/>
      <c r="G42" s="181" t="s">
        <v>475</v>
      </c>
      <c r="H42" s="43" t="s">
        <v>13</v>
      </c>
      <c r="I42" s="282">
        <f>I43</f>
        <v>0</v>
      </c>
      <c r="J42" s="282">
        <f>J43</f>
        <v>0</v>
      </c>
      <c r="K42" s="282">
        <f>K43</f>
        <v>0</v>
      </c>
      <c r="L42" s="34">
        <f>L43</f>
        <v>50000</v>
      </c>
      <c r="M42" s="34">
        <f>M43</f>
        <v>50000</v>
      </c>
      <c r="N42" s="410"/>
      <c r="O42" s="196"/>
    </row>
    <row r="43" spans="1:18" ht="36.75" hidden="1" customHeight="1" x14ac:dyDescent="0.25">
      <c r="A43" s="174"/>
      <c r="B43" s="174"/>
      <c r="C43" s="174"/>
      <c r="D43" s="174"/>
      <c r="E43" s="174"/>
      <c r="F43" s="44">
        <v>313320</v>
      </c>
      <c r="G43" s="181">
        <v>46</v>
      </c>
      <c r="H43" s="43" t="s">
        <v>13</v>
      </c>
      <c r="I43" s="282">
        <v>0</v>
      </c>
      <c r="J43" s="282">
        <f>K43-I43</f>
        <v>0</v>
      </c>
      <c r="K43" s="282">
        <v>0</v>
      </c>
      <c r="L43" s="34">
        <v>50000</v>
      </c>
      <c r="M43" s="34">
        <v>50000</v>
      </c>
      <c r="N43" s="410"/>
      <c r="O43" s="196"/>
    </row>
    <row r="44" spans="1:18" ht="36.75" hidden="1" customHeight="1" x14ac:dyDescent="0.25">
      <c r="A44" s="174"/>
      <c r="B44" s="172">
        <v>31</v>
      </c>
      <c r="C44" s="174"/>
      <c r="D44" s="174"/>
      <c r="E44" s="174"/>
      <c r="F44" s="44"/>
      <c r="G44" s="181" t="s">
        <v>448</v>
      </c>
      <c r="H44" s="43" t="s">
        <v>13</v>
      </c>
      <c r="I44" s="281">
        <v>0</v>
      </c>
      <c r="J44" s="281">
        <v>0</v>
      </c>
      <c r="K44" s="281">
        <v>0</v>
      </c>
      <c r="L44" s="34"/>
      <c r="M44" s="34"/>
      <c r="N44" s="410"/>
      <c r="O44" s="196"/>
    </row>
    <row r="45" spans="1:18" s="21" customFormat="1" ht="20.100000000000001" customHeight="1" x14ac:dyDescent="0.25">
      <c r="A45" s="172"/>
      <c r="B45" s="172">
        <v>32</v>
      </c>
      <c r="C45" s="172"/>
      <c r="D45" s="172"/>
      <c r="E45" s="172"/>
      <c r="F45" s="42"/>
      <c r="G45" s="181" t="s">
        <v>475</v>
      </c>
      <c r="H45" s="43" t="s">
        <v>22</v>
      </c>
      <c r="I45" s="281">
        <f>I46+I67+I105</f>
        <v>238850</v>
      </c>
      <c r="J45" s="281">
        <f>J46+J67+J105</f>
        <v>28600</v>
      </c>
      <c r="K45" s="281">
        <f>K46+K67+K105</f>
        <v>267450</v>
      </c>
      <c r="L45" s="31">
        <f>L46+L67+L105</f>
        <v>918700</v>
      </c>
      <c r="M45" s="31">
        <f>M46+M67+M105</f>
        <v>918700</v>
      </c>
      <c r="N45" s="410"/>
      <c r="O45" s="196"/>
      <c r="P45" s="270"/>
      <c r="Q45" s="20"/>
      <c r="R45" s="20"/>
    </row>
    <row r="46" spans="1:18" s="21" customFormat="1" ht="20.100000000000001" hidden="1" customHeight="1" x14ac:dyDescent="0.25">
      <c r="A46" s="212"/>
      <c r="B46" s="212"/>
      <c r="C46" s="172">
        <v>321</v>
      </c>
      <c r="D46" s="172"/>
      <c r="E46" s="212"/>
      <c r="F46" s="368"/>
      <c r="G46" s="181" t="s">
        <v>475</v>
      </c>
      <c r="H46" s="43" t="s">
        <v>23</v>
      </c>
      <c r="I46" s="281">
        <f t="shared" ref="I46:K46" si="7">I56+I61</f>
        <v>32400</v>
      </c>
      <c r="J46" s="281">
        <f t="shared" si="7"/>
        <v>2100</v>
      </c>
      <c r="K46" s="281">
        <f t="shared" si="7"/>
        <v>34500</v>
      </c>
      <c r="L46" s="40">
        <f>L56</f>
        <v>101000</v>
      </c>
      <c r="M46" s="40">
        <f>M56</f>
        <v>101000</v>
      </c>
      <c r="N46" s="410"/>
      <c r="O46" s="196"/>
      <c r="P46" s="270"/>
      <c r="Q46" s="20"/>
      <c r="R46" s="20"/>
    </row>
    <row r="47" spans="1:18" ht="20.100000000000001" hidden="1" customHeight="1" x14ac:dyDescent="0.25">
      <c r="A47" s="213"/>
      <c r="B47" s="213"/>
      <c r="C47" s="174"/>
      <c r="D47" s="174">
        <v>3211</v>
      </c>
      <c r="E47" s="213"/>
      <c r="F47" s="214"/>
      <c r="G47" s="181">
        <v>43</v>
      </c>
      <c r="H47" s="38" t="s">
        <v>24</v>
      </c>
      <c r="I47" s="282">
        <f>I48+I50+I52+I54</f>
        <v>0</v>
      </c>
      <c r="J47" s="282">
        <f>J48+J50+J52+J54</f>
        <v>0</v>
      </c>
      <c r="K47" s="282">
        <f>K48+K50+K52+K54</f>
        <v>0</v>
      </c>
      <c r="L47" s="31"/>
      <c r="M47" s="31"/>
      <c r="N47" s="410"/>
      <c r="O47" s="196"/>
    </row>
    <row r="48" spans="1:18" ht="20.100000000000001" hidden="1" customHeight="1" x14ac:dyDescent="0.25">
      <c r="A48" s="213"/>
      <c r="B48" s="213"/>
      <c r="C48" s="174"/>
      <c r="D48" s="174"/>
      <c r="E48" s="174">
        <v>32111</v>
      </c>
      <c r="F48" s="44"/>
      <c r="G48" s="181">
        <v>43</v>
      </c>
      <c r="H48" s="38" t="s">
        <v>102</v>
      </c>
      <c r="I48" s="282">
        <f>I49</f>
        <v>0</v>
      </c>
      <c r="J48" s="282">
        <f>J49</f>
        <v>0</v>
      </c>
      <c r="K48" s="282">
        <f>K49</f>
        <v>0</v>
      </c>
      <c r="L48" s="31"/>
      <c r="M48" s="31"/>
      <c r="N48" s="410"/>
      <c r="O48" s="196"/>
    </row>
    <row r="49" spans="1:20" ht="20.100000000000001" hidden="1" customHeight="1" x14ac:dyDescent="0.25">
      <c r="A49" s="213"/>
      <c r="B49" s="213"/>
      <c r="C49" s="174"/>
      <c r="D49" s="174"/>
      <c r="E49" s="174"/>
      <c r="F49" s="44">
        <v>321110</v>
      </c>
      <c r="G49" s="181">
        <v>43</v>
      </c>
      <c r="H49" s="38" t="s">
        <v>102</v>
      </c>
      <c r="I49" s="282">
        <v>0</v>
      </c>
      <c r="J49" s="282">
        <v>0</v>
      </c>
      <c r="K49" s="282">
        <f>I49+J49</f>
        <v>0</v>
      </c>
      <c r="L49" s="31"/>
      <c r="M49" s="31"/>
      <c r="N49" s="410"/>
      <c r="O49" s="196"/>
    </row>
    <row r="50" spans="1:20" s="268" customFormat="1" ht="20.100000000000001" hidden="1" customHeight="1" x14ac:dyDescent="0.25">
      <c r="A50" s="213"/>
      <c r="B50" s="213"/>
      <c r="C50" s="174"/>
      <c r="D50" s="174"/>
      <c r="E50" s="174">
        <v>32113</v>
      </c>
      <c r="F50" s="44"/>
      <c r="G50" s="181">
        <v>43</v>
      </c>
      <c r="H50" s="38" t="s">
        <v>103</v>
      </c>
      <c r="I50" s="282">
        <f>I51</f>
        <v>0</v>
      </c>
      <c r="J50" s="282">
        <f>J51</f>
        <v>0</v>
      </c>
      <c r="K50" s="282">
        <f>K51</f>
        <v>0</v>
      </c>
      <c r="L50" s="31"/>
      <c r="M50" s="31"/>
      <c r="N50" s="410"/>
      <c r="O50" s="196"/>
      <c r="P50" s="411"/>
      <c r="S50" s="194"/>
      <c r="T50" s="194"/>
    </row>
    <row r="51" spans="1:20" s="268" customFormat="1" ht="20.100000000000001" hidden="1" customHeight="1" x14ac:dyDescent="0.25">
      <c r="A51" s="213"/>
      <c r="B51" s="213"/>
      <c r="C51" s="174"/>
      <c r="D51" s="174"/>
      <c r="E51" s="174"/>
      <c r="F51" s="44">
        <v>321130</v>
      </c>
      <c r="G51" s="181">
        <v>43</v>
      </c>
      <c r="H51" s="38" t="s">
        <v>103</v>
      </c>
      <c r="I51" s="282">
        <v>0</v>
      </c>
      <c r="J51" s="282">
        <v>0</v>
      </c>
      <c r="K51" s="282">
        <f>I51+J51</f>
        <v>0</v>
      </c>
      <c r="L51" s="31"/>
      <c r="M51" s="31"/>
      <c r="N51" s="410"/>
      <c r="O51" s="196"/>
      <c r="P51" s="411"/>
      <c r="S51" s="194"/>
      <c r="T51" s="194"/>
    </row>
    <row r="52" spans="1:20" s="268" customFormat="1" ht="20.100000000000001" hidden="1" customHeight="1" x14ac:dyDescent="0.25">
      <c r="A52" s="213"/>
      <c r="B52" s="213"/>
      <c r="C52" s="174"/>
      <c r="D52" s="174"/>
      <c r="E52" s="174">
        <v>32115</v>
      </c>
      <c r="F52" s="44"/>
      <c r="G52" s="181">
        <v>43</v>
      </c>
      <c r="H52" s="38" t="s">
        <v>104</v>
      </c>
      <c r="I52" s="282">
        <f>I53</f>
        <v>0</v>
      </c>
      <c r="J52" s="282">
        <f>J53</f>
        <v>0</v>
      </c>
      <c r="K52" s="282">
        <f>K53</f>
        <v>0</v>
      </c>
      <c r="L52" s="31"/>
      <c r="M52" s="31"/>
      <c r="N52" s="410"/>
      <c r="O52" s="196"/>
      <c r="P52" s="411"/>
      <c r="S52" s="194"/>
      <c r="T52" s="194"/>
    </row>
    <row r="53" spans="1:20" s="268" customFormat="1" ht="20.100000000000001" hidden="1" customHeight="1" x14ac:dyDescent="0.25">
      <c r="A53" s="213"/>
      <c r="B53" s="213"/>
      <c r="C53" s="174"/>
      <c r="D53" s="174"/>
      <c r="E53" s="174"/>
      <c r="F53" s="44">
        <v>321150</v>
      </c>
      <c r="G53" s="181">
        <v>43</v>
      </c>
      <c r="H53" s="38" t="s">
        <v>104</v>
      </c>
      <c r="I53" s="282">
        <v>0</v>
      </c>
      <c r="J53" s="282">
        <v>0</v>
      </c>
      <c r="K53" s="282">
        <f>I53+J53</f>
        <v>0</v>
      </c>
      <c r="L53" s="31"/>
      <c r="M53" s="31"/>
      <c r="N53" s="410"/>
      <c r="O53" s="196"/>
      <c r="P53" s="411"/>
      <c r="S53" s="194"/>
      <c r="T53" s="194"/>
    </row>
    <row r="54" spans="1:20" s="268" customFormat="1" ht="20.100000000000001" hidden="1" customHeight="1" x14ac:dyDescent="0.25">
      <c r="A54" s="213"/>
      <c r="B54" s="213"/>
      <c r="C54" s="174"/>
      <c r="D54" s="174"/>
      <c r="E54" s="174">
        <v>32119</v>
      </c>
      <c r="F54" s="44"/>
      <c r="G54" s="181">
        <v>43</v>
      </c>
      <c r="H54" s="38" t="s">
        <v>105</v>
      </c>
      <c r="I54" s="282">
        <f>I55</f>
        <v>0</v>
      </c>
      <c r="J54" s="282">
        <f>J55</f>
        <v>0</v>
      </c>
      <c r="K54" s="282">
        <f>K55</f>
        <v>0</v>
      </c>
      <c r="L54" s="31"/>
      <c r="M54" s="31"/>
      <c r="N54" s="410"/>
      <c r="O54" s="196"/>
      <c r="P54" s="411"/>
      <c r="S54" s="194"/>
      <c r="T54" s="194"/>
    </row>
    <row r="55" spans="1:20" s="268" customFormat="1" ht="20.100000000000001" hidden="1" customHeight="1" x14ac:dyDescent="0.25">
      <c r="A55" s="213"/>
      <c r="B55" s="213"/>
      <c r="C55" s="174"/>
      <c r="D55" s="174"/>
      <c r="E55" s="174"/>
      <c r="F55" s="44">
        <v>321190</v>
      </c>
      <c r="G55" s="181">
        <v>43</v>
      </c>
      <c r="H55" s="38" t="s">
        <v>105</v>
      </c>
      <c r="I55" s="282">
        <v>0</v>
      </c>
      <c r="J55" s="282">
        <v>0</v>
      </c>
      <c r="K55" s="282">
        <f>I55+J55</f>
        <v>0</v>
      </c>
      <c r="L55" s="31"/>
      <c r="M55" s="31"/>
      <c r="N55" s="410"/>
      <c r="O55" s="196"/>
      <c r="P55" s="411"/>
      <c r="S55" s="194"/>
      <c r="T55" s="194"/>
    </row>
    <row r="56" spans="1:20" s="268" customFormat="1" ht="30" hidden="1" customHeight="1" x14ac:dyDescent="0.25">
      <c r="A56" s="213"/>
      <c r="B56" s="213"/>
      <c r="C56" s="174"/>
      <c r="D56" s="174">
        <v>3212</v>
      </c>
      <c r="E56" s="213"/>
      <c r="F56" s="214"/>
      <c r="G56" s="181" t="s">
        <v>475</v>
      </c>
      <c r="H56" s="38" t="s">
        <v>25</v>
      </c>
      <c r="I56" s="282">
        <f>I57+I59</f>
        <v>32400</v>
      </c>
      <c r="J56" s="282">
        <f>J57+J59</f>
        <v>2100</v>
      </c>
      <c r="K56" s="282">
        <f>K57+K59</f>
        <v>34500</v>
      </c>
      <c r="L56" s="34">
        <f>L57+L59</f>
        <v>101000</v>
      </c>
      <c r="M56" s="34">
        <f>M57+M59</f>
        <v>101000</v>
      </c>
      <c r="N56" s="410"/>
      <c r="O56" s="196"/>
      <c r="P56" s="411"/>
      <c r="S56" s="194"/>
      <c r="T56" s="194"/>
    </row>
    <row r="57" spans="1:20" s="268" customFormat="1" ht="20.100000000000001" hidden="1" customHeight="1" x14ac:dyDescent="0.25">
      <c r="A57" s="213"/>
      <c r="B57" s="213"/>
      <c r="C57" s="174"/>
      <c r="D57" s="174"/>
      <c r="E57" s="174">
        <v>32121</v>
      </c>
      <c r="F57" s="44"/>
      <c r="G57" s="181" t="s">
        <v>475</v>
      </c>
      <c r="H57" s="38" t="s">
        <v>106</v>
      </c>
      <c r="I57" s="282">
        <f>I58</f>
        <v>23900</v>
      </c>
      <c r="J57" s="282">
        <f>J58</f>
        <v>2100</v>
      </c>
      <c r="K57" s="282">
        <f>K58</f>
        <v>26000</v>
      </c>
      <c r="L57" s="34">
        <f>L58</f>
        <v>81000</v>
      </c>
      <c r="M57" s="34">
        <f>M58</f>
        <v>81000</v>
      </c>
      <c r="N57" s="410"/>
      <c r="O57" s="196"/>
      <c r="P57" s="411"/>
      <c r="S57" s="194"/>
      <c r="T57" s="194"/>
    </row>
    <row r="58" spans="1:20" s="268" customFormat="1" ht="20.100000000000001" hidden="1" customHeight="1" x14ac:dyDescent="0.25">
      <c r="A58" s="213"/>
      <c r="B58" s="213"/>
      <c r="C58" s="174"/>
      <c r="D58" s="174"/>
      <c r="E58" s="174"/>
      <c r="F58" s="44">
        <v>321210</v>
      </c>
      <c r="G58" s="181" t="s">
        <v>475</v>
      </c>
      <c r="H58" s="38" t="s">
        <v>106</v>
      </c>
      <c r="I58" s="282">
        <f>17300+2600+4000</f>
        <v>23900</v>
      </c>
      <c r="J58" s="282">
        <f>K58-I58</f>
        <v>2100</v>
      </c>
      <c r="K58" s="282">
        <v>26000</v>
      </c>
      <c r="L58" s="34">
        <v>81000</v>
      </c>
      <c r="M58" s="34">
        <v>81000</v>
      </c>
      <c r="N58" s="410"/>
      <c r="O58" s="196"/>
      <c r="P58" s="411"/>
      <c r="S58" s="194"/>
      <c r="T58" s="194"/>
    </row>
    <row r="59" spans="1:20" s="268" customFormat="1" ht="20.100000000000001" hidden="1" customHeight="1" x14ac:dyDescent="0.25">
      <c r="A59" s="213"/>
      <c r="B59" s="213"/>
      <c r="C59" s="174"/>
      <c r="D59" s="174"/>
      <c r="E59" s="174">
        <v>32123</v>
      </c>
      <c r="F59" s="44"/>
      <c r="G59" s="181" t="s">
        <v>475</v>
      </c>
      <c r="H59" s="38" t="s">
        <v>107</v>
      </c>
      <c r="I59" s="282">
        <f>I60</f>
        <v>8500</v>
      </c>
      <c r="J59" s="282">
        <f>J60</f>
        <v>0</v>
      </c>
      <c r="K59" s="282">
        <f>K60</f>
        <v>8500</v>
      </c>
      <c r="L59" s="34">
        <f>L60</f>
        <v>20000</v>
      </c>
      <c r="M59" s="34">
        <f>M60</f>
        <v>20000</v>
      </c>
      <c r="N59" s="410"/>
      <c r="O59" s="196"/>
      <c r="P59" s="411"/>
      <c r="S59" s="194"/>
      <c r="T59" s="194"/>
    </row>
    <row r="60" spans="1:20" s="268" customFormat="1" ht="20.100000000000001" hidden="1" customHeight="1" x14ac:dyDescent="0.25">
      <c r="A60" s="213"/>
      <c r="B60" s="213"/>
      <c r="C60" s="174"/>
      <c r="D60" s="174"/>
      <c r="E60" s="174"/>
      <c r="F60" s="44">
        <v>321230</v>
      </c>
      <c r="G60" s="181" t="s">
        <v>475</v>
      </c>
      <c r="H60" s="38" t="s">
        <v>107</v>
      </c>
      <c r="I60" s="282">
        <v>8500</v>
      </c>
      <c r="J60" s="282">
        <f>K60-I60</f>
        <v>0</v>
      </c>
      <c r="K60" s="282">
        <v>8500</v>
      </c>
      <c r="L60" s="34">
        <v>20000</v>
      </c>
      <c r="M60" s="34">
        <v>20000</v>
      </c>
      <c r="N60" s="410"/>
      <c r="O60" s="196"/>
      <c r="P60" s="270"/>
      <c r="S60" s="194"/>
      <c r="T60" s="194"/>
    </row>
    <row r="61" spans="1:20" s="268" customFormat="1" ht="20.100000000000001" hidden="1" customHeight="1" x14ac:dyDescent="0.25">
      <c r="A61" s="213"/>
      <c r="B61" s="213"/>
      <c r="C61" s="174"/>
      <c r="D61" s="174">
        <v>3213</v>
      </c>
      <c r="E61" s="213"/>
      <c r="F61" s="214"/>
      <c r="G61" s="181" t="s">
        <v>475</v>
      </c>
      <c r="H61" s="38" t="s">
        <v>26</v>
      </c>
      <c r="I61" s="282">
        <f t="shared" ref="I61:K61" si="8">I62</f>
        <v>0</v>
      </c>
      <c r="J61" s="282">
        <f t="shared" si="8"/>
        <v>0</v>
      </c>
      <c r="K61" s="282">
        <f t="shared" si="8"/>
        <v>0</v>
      </c>
      <c r="L61" s="31"/>
      <c r="M61" s="31"/>
      <c r="N61" s="410"/>
      <c r="O61" s="196"/>
      <c r="P61" s="68"/>
      <c r="S61" s="194"/>
      <c r="T61" s="194"/>
    </row>
    <row r="62" spans="1:20" s="268" customFormat="1" ht="20.100000000000001" hidden="1" customHeight="1" x14ac:dyDescent="0.25">
      <c r="A62" s="213"/>
      <c r="B62" s="213"/>
      <c r="C62" s="213"/>
      <c r="D62" s="213"/>
      <c r="E62" s="171" t="s">
        <v>108</v>
      </c>
      <c r="F62" s="38"/>
      <c r="G62" s="181" t="s">
        <v>475</v>
      </c>
      <c r="H62" s="38" t="s">
        <v>109</v>
      </c>
      <c r="I62" s="282">
        <f t="shared" ref="I62:K62" si="9">I63+I64</f>
        <v>0</v>
      </c>
      <c r="J62" s="282">
        <f t="shared" si="9"/>
        <v>0</v>
      </c>
      <c r="K62" s="282">
        <f t="shared" si="9"/>
        <v>0</v>
      </c>
      <c r="L62" s="31"/>
      <c r="M62" s="31"/>
      <c r="N62" s="410"/>
      <c r="O62" s="196"/>
      <c r="P62" s="411"/>
      <c r="S62" s="194"/>
      <c r="T62" s="194"/>
    </row>
    <row r="63" spans="1:20" s="268" customFormat="1" ht="20.100000000000001" hidden="1" customHeight="1" x14ac:dyDescent="0.25">
      <c r="A63" s="213"/>
      <c r="B63" s="213"/>
      <c r="C63" s="213"/>
      <c r="D63" s="213"/>
      <c r="E63" s="171"/>
      <c r="F63" s="38" t="s">
        <v>110</v>
      </c>
      <c r="G63" s="181" t="s">
        <v>475</v>
      </c>
      <c r="H63" s="38" t="s">
        <v>111</v>
      </c>
      <c r="I63" s="282">
        <v>0</v>
      </c>
      <c r="J63" s="282">
        <f>K63-I63</f>
        <v>0</v>
      </c>
      <c r="K63" s="282">
        <v>0</v>
      </c>
      <c r="L63" s="31"/>
      <c r="M63" s="31"/>
      <c r="N63" s="410"/>
      <c r="O63" s="196"/>
      <c r="P63" s="411"/>
      <c r="S63" s="194"/>
      <c r="T63" s="194"/>
    </row>
    <row r="64" spans="1:20" s="268" customFormat="1" ht="32.25" hidden="1" customHeight="1" x14ac:dyDescent="0.25">
      <c r="A64" s="213"/>
      <c r="B64" s="213"/>
      <c r="C64" s="213"/>
      <c r="D64" s="213"/>
      <c r="E64" s="171"/>
      <c r="F64" s="38" t="s">
        <v>112</v>
      </c>
      <c r="G64" s="181" t="s">
        <v>475</v>
      </c>
      <c r="H64" s="38" t="s">
        <v>113</v>
      </c>
      <c r="I64" s="282">
        <v>0</v>
      </c>
      <c r="J64" s="282">
        <f>K64-I64</f>
        <v>0</v>
      </c>
      <c r="K64" s="282">
        <v>0</v>
      </c>
      <c r="L64" s="31"/>
      <c r="M64" s="31"/>
      <c r="N64" s="410"/>
      <c r="O64" s="196"/>
      <c r="P64" s="411"/>
      <c r="S64" s="194"/>
      <c r="T64" s="194"/>
    </row>
    <row r="65" spans="1:20" s="268" customFormat="1" ht="20.100000000000001" hidden="1" customHeight="1" x14ac:dyDescent="0.25">
      <c r="A65" s="213"/>
      <c r="B65" s="213"/>
      <c r="C65" s="213"/>
      <c r="D65" s="213"/>
      <c r="E65" s="171" t="s">
        <v>114</v>
      </c>
      <c r="F65" s="38"/>
      <c r="G65" s="181" t="s">
        <v>475</v>
      </c>
      <c r="H65" s="38" t="s">
        <v>115</v>
      </c>
      <c r="I65" s="282"/>
      <c r="J65" s="282"/>
      <c r="K65" s="282"/>
      <c r="L65" s="31"/>
      <c r="M65" s="31"/>
      <c r="N65" s="410"/>
      <c r="O65" s="196"/>
      <c r="P65" s="411"/>
      <c r="S65" s="194"/>
      <c r="T65" s="194"/>
    </row>
    <row r="66" spans="1:20" ht="20.100000000000001" hidden="1" customHeight="1" x14ac:dyDescent="0.25">
      <c r="A66" s="213"/>
      <c r="B66" s="213"/>
      <c r="C66" s="213"/>
      <c r="D66" s="213"/>
      <c r="E66" s="171"/>
      <c r="F66" s="38" t="s">
        <v>116</v>
      </c>
      <c r="G66" s="181" t="s">
        <v>475</v>
      </c>
      <c r="H66" s="38" t="s">
        <v>115</v>
      </c>
      <c r="I66" s="282"/>
      <c r="J66" s="282"/>
      <c r="K66" s="282"/>
      <c r="L66" s="31"/>
      <c r="M66" s="31"/>
      <c r="N66" s="410"/>
      <c r="O66" s="196"/>
    </row>
    <row r="67" spans="1:20" s="21" customFormat="1" ht="20.100000000000001" hidden="1" customHeight="1" x14ac:dyDescent="0.25">
      <c r="A67" s="172"/>
      <c r="B67" s="172"/>
      <c r="C67" s="172">
        <v>322</v>
      </c>
      <c r="D67" s="172"/>
      <c r="E67" s="172"/>
      <c r="F67" s="42"/>
      <c r="G67" s="181" t="s">
        <v>475</v>
      </c>
      <c r="H67" s="43" t="s">
        <v>27</v>
      </c>
      <c r="I67" s="281">
        <f>I68+I81+I86+I94+I97+I102</f>
        <v>192030</v>
      </c>
      <c r="J67" s="281">
        <f>J68+J81+J86+J94+J97+J102</f>
        <v>27800</v>
      </c>
      <c r="K67" s="281">
        <f>K68+K81+K86+K94+K97+K102</f>
        <v>219830</v>
      </c>
      <c r="L67" s="31">
        <f>L68+L81</f>
        <v>800000</v>
      </c>
      <c r="M67" s="31">
        <f>M68+M81</f>
        <v>800000</v>
      </c>
      <c r="N67" s="410"/>
      <c r="O67" s="196"/>
      <c r="P67" s="195"/>
      <c r="Q67" s="20"/>
      <c r="R67" s="20"/>
    </row>
    <row r="68" spans="1:20" ht="20.100000000000001" hidden="1" customHeight="1" x14ac:dyDescent="0.25">
      <c r="A68" s="174"/>
      <c r="B68" s="174"/>
      <c r="C68" s="174"/>
      <c r="D68" s="174">
        <v>3221</v>
      </c>
      <c r="E68" s="174"/>
      <c r="F68" s="44"/>
      <c r="G68" s="181" t="s">
        <v>475</v>
      </c>
      <c r="H68" s="38" t="s">
        <v>117</v>
      </c>
      <c r="I68" s="282">
        <f>I69+I73+I75+I77+I79</f>
        <v>4800</v>
      </c>
      <c r="J68" s="282">
        <f>J69+J73+J75+J77+J79</f>
        <v>1000</v>
      </c>
      <c r="K68" s="282">
        <f>K69+K73+K75+K77+K79</f>
        <v>5800</v>
      </c>
      <c r="L68" s="34">
        <f>L69</f>
        <v>50000</v>
      </c>
      <c r="M68" s="34">
        <f>M69</f>
        <v>50000</v>
      </c>
      <c r="N68" s="410"/>
      <c r="O68" s="196"/>
    </row>
    <row r="69" spans="1:20" ht="20.100000000000001" hidden="1" customHeight="1" x14ac:dyDescent="0.25">
      <c r="A69" s="174"/>
      <c r="B69" s="174"/>
      <c r="C69" s="174"/>
      <c r="D69" s="174"/>
      <c r="E69" s="171" t="s">
        <v>118</v>
      </c>
      <c r="F69" s="38"/>
      <c r="G69" s="181" t="s">
        <v>475</v>
      </c>
      <c r="H69" s="38" t="s">
        <v>119</v>
      </c>
      <c r="I69" s="282">
        <f>I71+I72</f>
        <v>1500</v>
      </c>
      <c r="J69" s="282">
        <f>J71+J72</f>
        <v>1000</v>
      </c>
      <c r="K69" s="282">
        <f>K71+K72</f>
        <v>2500</v>
      </c>
      <c r="L69" s="34">
        <f>L71+L72</f>
        <v>50000</v>
      </c>
      <c r="M69" s="34">
        <f>M71+M72</f>
        <v>50000</v>
      </c>
      <c r="N69" s="410"/>
      <c r="O69" s="196"/>
      <c r="P69" s="68"/>
    </row>
    <row r="70" spans="1:20" ht="20.100000000000001" hidden="1" customHeight="1" x14ac:dyDescent="0.25">
      <c r="A70" s="174"/>
      <c r="B70" s="174"/>
      <c r="C70" s="174"/>
      <c r="D70" s="174"/>
      <c r="E70" s="171"/>
      <c r="F70" s="38"/>
      <c r="G70" s="181" t="s">
        <v>475</v>
      </c>
      <c r="H70" s="38"/>
      <c r="I70" s="282"/>
      <c r="J70" s="282"/>
      <c r="K70" s="282"/>
      <c r="L70" s="34"/>
      <c r="M70" s="34"/>
      <c r="N70" s="410"/>
      <c r="O70" s="196"/>
    </row>
    <row r="71" spans="1:20" ht="20.100000000000001" hidden="1" customHeight="1" x14ac:dyDescent="0.25">
      <c r="A71" s="174"/>
      <c r="B71" s="174"/>
      <c r="C71" s="174"/>
      <c r="D71" s="174"/>
      <c r="E71" s="171"/>
      <c r="F71" s="38" t="s">
        <v>120</v>
      </c>
      <c r="G71" s="181" t="s">
        <v>475</v>
      </c>
      <c r="H71" s="38" t="s">
        <v>119</v>
      </c>
      <c r="I71" s="282">
        <v>1000</v>
      </c>
      <c r="J71" s="282">
        <f>K71-I71</f>
        <v>500</v>
      </c>
      <c r="K71" s="282">
        <v>1500</v>
      </c>
      <c r="L71" s="34">
        <v>27000</v>
      </c>
      <c r="M71" s="34">
        <v>27000</v>
      </c>
      <c r="N71" s="410"/>
      <c r="O71" s="196"/>
    </row>
    <row r="72" spans="1:20" ht="20.100000000000001" hidden="1" customHeight="1" x14ac:dyDescent="0.25">
      <c r="A72" s="174"/>
      <c r="B72" s="174"/>
      <c r="C72" s="174"/>
      <c r="D72" s="174"/>
      <c r="E72" s="171"/>
      <c r="F72" s="38" t="s">
        <v>121</v>
      </c>
      <c r="G72" s="181" t="s">
        <v>475</v>
      </c>
      <c r="H72" s="38" t="s">
        <v>122</v>
      </c>
      <c r="I72" s="282">
        <v>500</v>
      </c>
      <c r="J72" s="282">
        <f>K72-I72</f>
        <v>500</v>
      </c>
      <c r="K72" s="282">
        <v>1000</v>
      </c>
      <c r="L72" s="34">
        <v>23000</v>
      </c>
      <c r="M72" s="34">
        <v>23000</v>
      </c>
      <c r="N72" s="410"/>
      <c r="O72" s="196"/>
    </row>
    <row r="73" spans="1:20" ht="28.5" hidden="1" customHeight="1" x14ac:dyDescent="0.25">
      <c r="A73" s="174"/>
      <c r="B73" s="174"/>
      <c r="C73" s="174"/>
      <c r="D73" s="174"/>
      <c r="E73" s="171" t="s">
        <v>123</v>
      </c>
      <c r="F73" s="38"/>
      <c r="G73" s="181" t="s">
        <v>475</v>
      </c>
      <c r="H73" s="38" t="s">
        <v>124</v>
      </c>
      <c r="I73" s="282"/>
      <c r="J73" s="282"/>
      <c r="K73" s="282"/>
      <c r="L73" s="34"/>
      <c r="M73" s="34"/>
      <c r="N73" s="410"/>
      <c r="O73" s="196"/>
    </row>
    <row r="74" spans="1:20" ht="30.75" hidden="1" customHeight="1" x14ac:dyDescent="0.25">
      <c r="A74" s="174"/>
      <c r="B74" s="174"/>
      <c r="C74" s="174"/>
      <c r="D74" s="174"/>
      <c r="E74" s="171"/>
      <c r="F74" s="38" t="s">
        <v>125</v>
      </c>
      <c r="G74" s="181" t="s">
        <v>475</v>
      </c>
      <c r="H74" s="38" t="s">
        <v>124</v>
      </c>
      <c r="I74" s="282"/>
      <c r="J74" s="282"/>
      <c r="K74" s="282"/>
      <c r="L74" s="34"/>
      <c r="M74" s="34"/>
      <c r="N74" s="410"/>
      <c r="O74" s="196"/>
    </row>
    <row r="75" spans="1:20" ht="20.100000000000001" hidden="1" customHeight="1" x14ac:dyDescent="0.25">
      <c r="A75" s="174"/>
      <c r="B75" s="174"/>
      <c r="C75" s="174"/>
      <c r="D75" s="174"/>
      <c r="E75" s="171" t="s">
        <v>126</v>
      </c>
      <c r="F75" s="38"/>
      <c r="G75" s="181" t="s">
        <v>475</v>
      </c>
      <c r="H75" s="38" t="s">
        <v>127</v>
      </c>
      <c r="I75" s="282">
        <f t="shared" ref="I75:K75" si="10">I76</f>
        <v>800</v>
      </c>
      <c r="J75" s="282">
        <f t="shared" si="10"/>
        <v>0</v>
      </c>
      <c r="K75" s="282">
        <f t="shared" si="10"/>
        <v>800</v>
      </c>
      <c r="L75" s="34"/>
      <c r="M75" s="34"/>
      <c r="N75" s="410"/>
      <c r="O75" s="196"/>
      <c r="P75" s="195"/>
    </row>
    <row r="76" spans="1:20" ht="20.100000000000001" hidden="1" customHeight="1" x14ac:dyDescent="0.25">
      <c r="A76" s="174"/>
      <c r="B76" s="174"/>
      <c r="C76" s="174"/>
      <c r="D76" s="174"/>
      <c r="E76" s="171"/>
      <c r="F76" s="38" t="s">
        <v>128</v>
      </c>
      <c r="G76" s="181" t="s">
        <v>475</v>
      </c>
      <c r="H76" s="38" t="s">
        <v>127</v>
      </c>
      <c r="I76" s="282">
        <v>800</v>
      </c>
      <c r="J76" s="282">
        <f>K76-I76</f>
        <v>0</v>
      </c>
      <c r="K76" s="282">
        <v>800</v>
      </c>
      <c r="L76" s="34"/>
      <c r="M76" s="34"/>
      <c r="N76" s="410"/>
      <c r="O76" s="196"/>
      <c r="Q76" s="194"/>
      <c r="R76" s="194"/>
    </row>
    <row r="77" spans="1:20" ht="20.100000000000001" hidden="1" customHeight="1" x14ac:dyDescent="0.25">
      <c r="A77" s="174"/>
      <c r="B77" s="174"/>
      <c r="C77" s="174"/>
      <c r="D77" s="174"/>
      <c r="E77" s="171" t="s">
        <v>129</v>
      </c>
      <c r="F77" s="38"/>
      <c r="G77" s="181" t="s">
        <v>475</v>
      </c>
      <c r="H77" s="38" t="s">
        <v>130</v>
      </c>
      <c r="I77" s="282">
        <f t="shared" ref="I77:K77" si="11">I78</f>
        <v>2500</v>
      </c>
      <c r="J77" s="282">
        <f t="shared" si="11"/>
        <v>0</v>
      </c>
      <c r="K77" s="282">
        <f t="shared" si="11"/>
        <v>2500</v>
      </c>
      <c r="L77" s="34"/>
      <c r="M77" s="34"/>
      <c r="N77" s="410"/>
      <c r="O77" s="196"/>
      <c r="Q77" s="194"/>
      <c r="R77" s="194"/>
    </row>
    <row r="78" spans="1:20" ht="20.100000000000001" hidden="1" customHeight="1" x14ac:dyDescent="0.25">
      <c r="A78" s="174"/>
      <c r="B78" s="174"/>
      <c r="C78" s="174"/>
      <c r="D78" s="174"/>
      <c r="E78" s="171"/>
      <c r="F78" s="38" t="s">
        <v>131</v>
      </c>
      <c r="G78" s="181" t="s">
        <v>475</v>
      </c>
      <c r="H78" s="38" t="s">
        <v>130</v>
      </c>
      <c r="I78" s="282">
        <v>2500</v>
      </c>
      <c r="J78" s="282">
        <f>K78-I78</f>
        <v>0</v>
      </c>
      <c r="K78" s="282">
        <v>2500</v>
      </c>
      <c r="L78" s="34"/>
      <c r="M78" s="34"/>
      <c r="N78" s="410"/>
      <c r="O78" s="196"/>
      <c r="Q78" s="194"/>
      <c r="R78" s="194"/>
    </row>
    <row r="79" spans="1:20" ht="20.100000000000001" hidden="1" customHeight="1" x14ac:dyDescent="0.25">
      <c r="A79" s="174"/>
      <c r="B79" s="174"/>
      <c r="C79" s="174"/>
      <c r="D79" s="174"/>
      <c r="E79" s="171" t="s">
        <v>132</v>
      </c>
      <c r="F79" s="38"/>
      <c r="G79" s="181" t="s">
        <v>475</v>
      </c>
      <c r="H79" s="38" t="s">
        <v>133</v>
      </c>
      <c r="I79" s="282"/>
      <c r="J79" s="282"/>
      <c r="K79" s="282"/>
      <c r="L79" s="34"/>
      <c r="M79" s="34"/>
      <c r="N79" s="410"/>
      <c r="O79" s="196"/>
      <c r="Q79" s="194"/>
      <c r="R79" s="194"/>
    </row>
    <row r="80" spans="1:20" ht="20.100000000000001" hidden="1" customHeight="1" x14ac:dyDescent="0.25">
      <c r="A80" s="174"/>
      <c r="B80" s="174"/>
      <c r="C80" s="174"/>
      <c r="D80" s="174"/>
      <c r="E80" s="171"/>
      <c r="F80" s="38" t="s">
        <v>134</v>
      </c>
      <c r="G80" s="181" t="s">
        <v>475</v>
      </c>
      <c r="H80" s="38" t="s">
        <v>133</v>
      </c>
      <c r="I80" s="282"/>
      <c r="J80" s="282"/>
      <c r="K80" s="282"/>
      <c r="L80" s="34"/>
      <c r="M80" s="34"/>
      <c r="N80" s="410"/>
      <c r="O80" s="196"/>
      <c r="Q80" s="194"/>
      <c r="R80" s="194"/>
    </row>
    <row r="81" spans="1:18" ht="20.100000000000001" hidden="1" customHeight="1" x14ac:dyDescent="0.25">
      <c r="A81" s="174"/>
      <c r="B81" s="174"/>
      <c r="C81" s="174"/>
      <c r="D81" s="174">
        <v>3222</v>
      </c>
      <c r="E81" s="174"/>
      <c r="F81" s="44"/>
      <c r="G81" s="181" t="s">
        <v>475</v>
      </c>
      <c r="H81" s="38" t="s">
        <v>29</v>
      </c>
      <c r="I81" s="282">
        <f>I82+I84</f>
        <v>183200</v>
      </c>
      <c r="J81" s="282">
        <f>J82+J84</f>
        <v>26800</v>
      </c>
      <c r="K81" s="282">
        <f>K82+K84</f>
        <v>210000</v>
      </c>
      <c r="L81" s="34">
        <f>L82+L84</f>
        <v>750000</v>
      </c>
      <c r="M81" s="34">
        <f>M82+M84</f>
        <v>750000</v>
      </c>
      <c r="N81" s="410"/>
      <c r="O81" s="196"/>
      <c r="Q81" s="194"/>
      <c r="R81" s="194"/>
    </row>
    <row r="82" spans="1:18" ht="20.100000000000001" hidden="1" customHeight="1" x14ac:dyDescent="0.25">
      <c r="A82" s="174"/>
      <c r="B82" s="174"/>
      <c r="C82" s="174"/>
      <c r="D82" s="174"/>
      <c r="E82" s="171" t="s">
        <v>135</v>
      </c>
      <c r="F82" s="38"/>
      <c r="G82" s="181" t="s">
        <v>475</v>
      </c>
      <c r="H82" s="38" t="s">
        <v>136</v>
      </c>
      <c r="I82" s="282">
        <f>I83</f>
        <v>141700</v>
      </c>
      <c r="J82" s="282">
        <f>J83</f>
        <v>23300</v>
      </c>
      <c r="K82" s="282">
        <f>K83</f>
        <v>165000</v>
      </c>
      <c r="L82" s="34">
        <f>L83</f>
        <v>450000</v>
      </c>
      <c r="M82" s="34">
        <f>M83</f>
        <v>450000</v>
      </c>
      <c r="N82" s="410"/>
      <c r="O82" s="196"/>
      <c r="Q82" s="194"/>
      <c r="R82" s="194"/>
    </row>
    <row r="83" spans="1:18" ht="20.100000000000001" hidden="1" customHeight="1" x14ac:dyDescent="0.25">
      <c r="A83" s="174"/>
      <c r="B83" s="174"/>
      <c r="C83" s="174"/>
      <c r="D83" s="174"/>
      <c r="E83" s="171"/>
      <c r="F83" s="38" t="s">
        <v>137</v>
      </c>
      <c r="G83" s="181" t="s">
        <v>475</v>
      </c>
      <c r="H83" s="38" t="s">
        <v>136</v>
      </c>
      <c r="I83" s="282">
        <f>187700-33000-10000-3000</f>
        <v>141700</v>
      </c>
      <c r="J83" s="282">
        <f>K83-I83</f>
        <v>23300</v>
      </c>
      <c r="K83" s="282">
        <v>165000</v>
      </c>
      <c r="L83" s="34">
        <v>450000</v>
      </c>
      <c r="M83" s="34">
        <v>450000</v>
      </c>
      <c r="N83" s="410"/>
      <c r="O83" s="196"/>
      <c r="Q83" s="194"/>
      <c r="R83" s="194"/>
    </row>
    <row r="84" spans="1:18" ht="20.100000000000001" hidden="1" customHeight="1" x14ac:dyDescent="0.25">
      <c r="A84" s="174"/>
      <c r="B84" s="174"/>
      <c r="C84" s="174"/>
      <c r="D84" s="174"/>
      <c r="E84" s="171" t="s">
        <v>138</v>
      </c>
      <c r="F84" s="38"/>
      <c r="G84" s="181" t="s">
        <v>475</v>
      </c>
      <c r="H84" s="38" t="s">
        <v>139</v>
      </c>
      <c r="I84" s="282">
        <f>I85</f>
        <v>41500</v>
      </c>
      <c r="J84" s="282">
        <f>J85</f>
        <v>3500</v>
      </c>
      <c r="K84" s="282">
        <f>K85</f>
        <v>45000</v>
      </c>
      <c r="L84" s="34">
        <f>L85</f>
        <v>300000</v>
      </c>
      <c r="M84" s="34">
        <f>M85</f>
        <v>300000</v>
      </c>
      <c r="N84" s="410"/>
      <c r="O84" s="196"/>
      <c r="P84" s="68"/>
      <c r="Q84" s="194"/>
      <c r="R84" s="194"/>
    </row>
    <row r="85" spans="1:18" ht="20.100000000000001" hidden="1" customHeight="1" x14ac:dyDescent="0.25">
      <c r="A85" s="174"/>
      <c r="B85" s="174"/>
      <c r="C85" s="174"/>
      <c r="D85" s="174"/>
      <c r="E85" s="171"/>
      <c r="F85" s="38" t="s">
        <v>140</v>
      </c>
      <c r="G85" s="181" t="s">
        <v>475</v>
      </c>
      <c r="H85" s="38" t="s">
        <v>139</v>
      </c>
      <c r="I85" s="282">
        <f>31500+10000</f>
        <v>41500</v>
      </c>
      <c r="J85" s="282">
        <f>K85-I85</f>
        <v>3500</v>
      </c>
      <c r="K85" s="282">
        <v>45000</v>
      </c>
      <c r="L85" s="34">
        <v>300000</v>
      </c>
      <c r="M85" s="34">
        <v>300000</v>
      </c>
      <c r="N85" s="410"/>
      <c r="O85" s="196"/>
      <c r="P85" s="68"/>
      <c r="Q85" s="194"/>
      <c r="R85" s="194"/>
    </row>
    <row r="86" spans="1:18" ht="20.100000000000001" hidden="1" customHeight="1" x14ac:dyDescent="0.25">
      <c r="A86" s="174"/>
      <c r="B86" s="174"/>
      <c r="C86" s="174"/>
      <c r="D86" s="174">
        <v>3223</v>
      </c>
      <c r="E86" s="174"/>
      <c r="F86" s="44"/>
      <c r="G86" s="181" t="s">
        <v>475</v>
      </c>
      <c r="H86" s="38" t="s">
        <v>30</v>
      </c>
      <c r="I86" s="282">
        <f t="shared" ref="I86:K86" si="12">I87+I90+I92</f>
        <v>4030</v>
      </c>
      <c r="J86" s="282">
        <f t="shared" si="12"/>
        <v>0</v>
      </c>
      <c r="K86" s="282">
        <f t="shared" si="12"/>
        <v>4030</v>
      </c>
      <c r="L86" s="31"/>
      <c r="M86" s="31"/>
      <c r="N86" s="410"/>
      <c r="O86" s="196"/>
      <c r="Q86" s="194"/>
      <c r="R86" s="194"/>
    </row>
    <row r="87" spans="1:18" ht="20.100000000000001" hidden="1" customHeight="1" x14ac:dyDescent="0.25">
      <c r="A87" s="174"/>
      <c r="B87" s="174"/>
      <c r="C87" s="174"/>
      <c r="D87" s="174"/>
      <c r="E87" s="171" t="s">
        <v>141</v>
      </c>
      <c r="F87" s="38"/>
      <c r="G87" s="181" t="s">
        <v>475</v>
      </c>
      <c r="H87" s="38" t="s">
        <v>142</v>
      </c>
      <c r="I87" s="282">
        <f t="shared" ref="I87:K87" si="13">I88+I89</f>
        <v>2800</v>
      </c>
      <c r="J87" s="282">
        <f t="shared" si="13"/>
        <v>0</v>
      </c>
      <c r="K87" s="282">
        <f t="shared" si="13"/>
        <v>2800</v>
      </c>
      <c r="L87" s="31"/>
      <c r="M87" s="31"/>
      <c r="N87" s="410"/>
      <c r="O87" s="196"/>
      <c r="Q87" s="194"/>
      <c r="R87" s="194"/>
    </row>
    <row r="88" spans="1:18" ht="20.100000000000001" hidden="1" customHeight="1" x14ac:dyDescent="0.25">
      <c r="A88" s="174"/>
      <c r="B88" s="174"/>
      <c r="C88" s="174"/>
      <c r="D88" s="174"/>
      <c r="E88" s="171"/>
      <c r="F88" s="38" t="s">
        <v>143</v>
      </c>
      <c r="G88" s="181" t="s">
        <v>475</v>
      </c>
      <c r="H88" s="38" t="s">
        <v>142</v>
      </c>
      <c r="I88" s="282">
        <v>1100</v>
      </c>
      <c r="J88" s="282">
        <f>K88-I88</f>
        <v>0</v>
      </c>
      <c r="K88" s="282">
        <v>1100</v>
      </c>
      <c r="L88" s="31"/>
      <c r="M88" s="31"/>
      <c r="N88" s="410"/>
      <c r="O88" s="196"/>
      <c r="Q88" s="194"/>
      <c r="R88" s="194"/>
    </row>
    <row r="89" spans="1:18" ht="20.100000000000001" hidden="1" customHeight="1" x14ac:dyDescent="0.25">
      <c r="A89" s="174"/>
      <c r="B89" s="174"/>
      <c r="C89" s="174"/>
      <c r="D89" s="174"/>
      <c r="E89" s="171"/>
      <c r="F89" s="38" t="s">
        <v>144</v>
      </c>
      <c r="G89" s="181" t="s">
        <v>475</v>
      </c>
      <c r="H89" s="38" t="s">
        <v>145</v>
      </c>
      <c r="I89" s="282">
        <v>1700</v>
      </c>
      <c r="J89" s="282">
        <f>K89-I89</f>
        <v>0</v>
      </c>
      <c r="K89" s="282">
        <v>1700</v>
      </c>
      <c r="L89" s="31"/>
      <c r="M89" s="31"/>
      <c r="N89" s="410"/>
      <c r="O89" s="196"/>
      <c r="Q89" s="194"/>
      <c r="R89" s="194"/>
    </row>
    <row r="90" spans="1:18" ht="20.100000000000001" hidden="1" customHeight="1" x14ac:dyDescent="0.25">
      <c r="A90" s="174"/>
      <c r="B90" s="174"/>
      <c r="C90" s="174"/>
      <c r="D90" s="174"/>
      <c r="E90" s="171" t="s">
        <v>146</v>
      </c>
      <c r="F90" s="38"/>
      <c r="G90" s="181" t="s">
        <v>475</v>
      </c>
      <c r="H90" s="38" t="s">
        <v>147</v>
      </c>
      <c r="I90" s="282">
        <f t="shared" ref="I90:K90" si="14">I91</f>
        <v>930</v>
      </c>
      <c r="J90" s="282">
        <f t="shared" si="14"/>
        <v>0</v>
      </c>
      <c r="K90" s="282">
        <f t="shared" si="14"/>
        <v>930</v>
      </c>
      <c r="L90" s="31"/>
      <c r="M90" s="31"/>
      <c r="N90" s="410"/>
      <c r="O90" s="196"/>
      <c r="Q90" s="194"/>
      <c r="R90" s="194"/>
    </row>
    <row r="91" spans="1:18" ht="20.100000000000001" hidden="1" customHeight="1" x14ac:dyDescent="0.25">
      <c r="A91" s="174"/>
      <c r="B91" s="174"/>
      <c r="C91" s="174"/>
      <c r="D91" s="174"/>
      <c r="E91" s="171"/>
      <c r="F91" s="38" t="s">
        <v>148</v>
      </c>
      <c r="G91" s="181" t="s">
        <v>475</v>
      </c>
      <c r="H91" s="38" t="s">
        <v>147</v>
      </c>
      <c r="I91" s="282">
        <v>930</v>
      </c>
      <c r="J91" s="282">
        <f>K91-I91</f>
        <v>0</v>
      </c>
      <c r="K91" s="282">
        <v>930</v>
      </c>
      <c r="L91" s="31"/>
      <c r="M91" s="31"/>
      <c r="N91" s="410"/>
      <c r="O91" s="196"/>
      <c r="Q91" s="194"/>
      <c r="R91" s="194"/>
    </row>
    <row r="92" spans="1:18" ht="20.100000000000001" hidden="1" customHeight="1" x14ac:dyDescent="0.25">
      <c r="A92" s="174"/>
      <c r="B92" s="174"/>
      <c r="C92" s="174"/>
      <c r="D92" s="174"/>
      <c r="E92" s="171" t="s">
        <v>149</v>
      </c>
      <c r="F92" s="38"/>
      <c r="G92" s="181" t="s">
        <v>475</v>
      </c>
      <c r="H92" s="38" t="s">
        <v>150</v>
      </c>
      <c r="I92" s="282">
        <f t="shared" ref="I92:K92" si="15">I93</f>
        <v>300</v>
      </c>
      <c r="J92" s="282">
        <f t="shared" si="15"/>
        <v>0</v>
      </c>
      <c r="K92" s="282">
        <f t="shared" si="15"/>
        <v>300</v>
      </c>
      <c r="L92" s="31"/>
      <c r="M92" s="31"/>
      <c r="N92" s="410"/>
      <c r="O92" s="196"/>
    </row>
    <row r="93" spans="1:18" ht="20.100000000000001" hidden="1" customHeight="1" x14ac:dyDescent="0.25">
      <c r="A93" s="174"/>
      <c r="B93" s="174"/>
      <c r="C93" s="174"/>
      <c r="D93" s="174"/>
      <c r="E93" s="171"/>
      <c r="F93" s="38" t="s">
        <v>151</v>
      </c>
      <c r="G93" s="181" t="s">
        <v>475</v>
      </c>
      <c r="H93" s="38" t="s">
        <v>150</v>
      </c>
      <c r="I93" s="282">
        <v>300</v>
      </c>
      <c r="J93" s="282">
        <f>K93-I93</f>
        <v>0</v>
      </c>
      <c r="K93" s="282">
        <v>300</v>
      </c>
      <c r="L93" s="31"/>
      <c r="M93" s="31"/>
      <c r="N93" s="410"/>
      <c r="O93" s="196"/>
    </row>
    <row r="94" spans="1:18" ht="31.5" hidden="1" customHeight="1" x14ac:dyDescent="0.25">
      <c r="A94" s="174"/>
      <c r="B94" s="174"/>
      <c r="C94" s="174"/>
      <c r="D94" s="174">
        <v>3224</v>
      </c>
      <c r="E94" s="174"/>
      <c r="F94" s="44"/>
      <c r="G94" s="181" t="s">
        <v>475</v>
      </c>
      <c r="H94" s="41" t="s">
        <v>152</v>
      </c>
      <c r="I94" s="282">
        <v>0</v>
      </c>
      <c r="J94" s="282">
        <v>0</v>
      </c>
      <c r="K94" s="282">
        <v>0</v>
      </c>
      <c r="L94" s="31"/>
      <c r="M94" s="31"/>
      <c r="N94" s="410"/>
      <c r="O94" s="196"/>
    </row>
    <row r="95" spans="1:18" ht="30.75" hidden="1" customHeight="1" x14ac:dyDescent="0.25">
      <c r="A95" s="174"/>
      <c r="B95" s="174"/>
      <c r="C95" s="174"/>
      <c r="D95" s="174"/>
      <c r="E95" s="171" t="s">
        <v>153</v>
      </c>
      <c r="F95" s="38"/>
      <c r="G95" s="181" t="s">
        <v>475</v>
      </c>
      <c r="H95" s="38" t="s">
        <v>154</v>
      </c>
      <c r="I95" s="282"/>
      <c r="J95" s="282"/>
      <c r="K95" s="282"/>
      <c r="L95" s="31"/>
      <c r="M95" s="31"/>
      <c r="N95" s="410"/>
      <c r="O95" s="196"/>
    </row>
    <row r="96" spans="1:18" ht="20.100000000000001" hidden="1" customHeight="1" x14ac:dyDescent="0.25">
      <c r="A96" s="174"/>
      <c r="B96" s="174"/>
      <c r="C96" s="174"/>
      <c r="D96" s="174"/>
      <c r="E96" s="171"/>
      <c r="F96" s="38" t="s">
        <v>155</v>
      </c>
      <c r="G96" s="181" t="s">
        <v>475</v>
      </c>
      <c r="H96" s="38" t="s">
        <v>154</v>
      </c>
      <c r="I96" s="282"/>
      <c r="J96" s="282"/>
      <c r="K96" s="282"/>
      <c r="L96" s="31"/>
      <c r="M96" s="31"/>
      <c r="N96" s="410"/>
      <c r="O96" s="196"/>
    </row>
    <row r="97" spans="1:18" ht="20.100000000000001" hidden="1" customHeight="1" x14ac:dyDescent="0.25">
      <c r="A97" s="174"/>
      <c r="B97" s="174"/>
      <c r="C97" s="174"/>
      <c r="D97" s="174">
        <v>3225</v>
      </c>
      <c r="E97" s="174"/>
      <c r="F97" s="44"/>
      <c r="G97" s="181" t="s">
        <v>475</v>
      </c>
      <c r="H97" s="41" t="s">
        <v>156</v>
      </c>
      <c r="I97" s="282">
        <f t="shared" ref="I97:K98" si="16">I98</f>
        <v>0</v>
      </c>
      <c r="J97" s="282">
        <f t="shared" si="16"/>
        <v>0</v>
      </c>
      <c r="K97" s="282">
        <f t="shared" si="16"/>
        <v>0</v>
      </c>
      <c r="L97" s="31"/>
      <c r="M97" s="31"/>
      <c r="N97" s="410"/>
      <c r="O97" s="196"/>
    </row>
    <row r="98" spans="1:18" ht="20.100000000000001" hidden="1" customHeight="1" x14ac:dyDescent="0.25">
      <c r="A98" s="174"/>
      <c r="B98" s="174"/>
      <c r="C98" s="174"/>
      <c r="D98" s="174"/>
      <c r="E98" s="171" t="s">
        <v>157</v>
      </c>
      <c r="F98" s="38"/>
      <c r="G98" s="181" t="s">
        <v>475</v>
      </c>
      <c r="H98" s="38" t="s">
        <v>158</v>
      </c>
      <c r="I98" s="282">
        <f t="shared" si="16"/>
        <v>0</v>
      </c>
      <c r="J98" s="282">
        <f t="shared" si="16"/>
        <v>0</v>
      </c>
      <c r="K98" s="282">
        <f t="shared" si="16"/>
        <v>0</v>
      </c>
      <c r="L98" s="31"/>
      <c r="M98" s="31"/>
      <c r="N98" s="410"/>
      <c r="O98" s="196"/>
    </row>
    <row r="99" spans="1:18" ht="20.100000000000001" hidden="1" customHeight="1" x14ac:dyDescent="0.25">
      <c r="A99" s="174"/>
      <c r="B99" s="174"/>
      <c r="C99" s="174"/>
      <c r="D99" s="174"/>
      <c r="E99" s="171"/>
      <c r="F99" s="38" t="s">
        <v>159</v>
      </c>
      <c r="G99" s="181" t="s">
        <v>475</v>
      </c>
      <c r="H99" s="38" t="s">
        <v>158</v>
      </c>
      <c r="I99" s="282">
        <v>0</v>
      </c>
      <c r="J99" s="282">
        <f>K99-I99</f>
        <v>0</v>
      </c>
      <c r="K99" s="282">
        <v>0</v>
      </c>
      <c r="L99" s="31"/>
      <c r="M99" s="31"/>
      <c r="N99" s="410"/>
      <c r="O99" s="196"/>
    </row>
    <row r="100" spans="1:18" ht="20.100000000000001" hidden="1" customHeight="1" x14ac:dyDescent="0.25">
      <c r="A100" s="174"/>
      <c r="B100" s="174"/>
      <c r="C100" s="174"/>
      <c r="D100" s="174"/>
      <c r="E100" s="171" t="s">
        <v>160</v>
      </c>
      <c r="F100" s="38"/>
      <c r="G100" s="181" t="s">
        <v>475</v>
      </c>
      <c r="H100" s="38" t="s">
        <v>161</v>
      </c>
      <c r="I100" s="282"/>
      <c r="J100" s="282"/>
      <c r="K100" s="282"/>
      <c r="L100" s="31"/>
      <c r="M100" s="31"/>
      <c r="N100" s="410"/>
      <c r="O100" s="196"/>
    </row>
    <row r="101" spans="1:18" ht="20.100000000000001" hidden="1" customHeight="1" x14ac:dyDescent="0.25">
      <c r="A101" s="174"/>
      <c r="B101" s="174"/>
      <c r="C101" s="174"/>
      <c r="D101" s="174"/>
      <c r="E101" s="171"/>
      <c r="F101" s="38" t="s">
        <v>162</v>
      </c>
      <c r="G101" s="181" t="s">
        <v>475</v>
      </c>
      <c r="H101" s="38" t="s">
        <v>161</v>
      </c>
      <c r="I101" s="282"/>
      <c r="J101" s="282"/>
      <c r="K101" s="282"/>
      <c r="L101" s="31"/>
      <c r="M101" s="31"/>
      <c r="N101" s="410"/>
      <c r="O101" s="196"/>
    </row>
    <row r="102" spans="1:18" ht="20.100000000000001" hidden="1" customHeight="1" x14ac:dyDescent="0.25">
      <c r="A102" s="174"/>
      <c r="B102" s="174"/>
      <c r="C102" s="174"/>
      <c r="D102" s="174">
        <v>3227</v>
      </c>
      <c r="E102" s="174"/>
      <c r="F102" s="44"/>
      <c r="G102" s="181" t="s">
        <v>475</v>
      </c>
      <c r="H102" s="38" t="s">
        <v>33</v>
      </c>
      <c r="I102" s="282">
        <f t="shared" ref="I102:K103" si="17">I103</f>
        <v>0</v>
      </c>
      <c r="J102" s="282">
        <f t="shared" si="17"/>
        <v>0</v>
      </c>
      <c r="K102" s="282">
        <f t="shared" si="17"/>
        <v>0</v>
      </c>
      <c r="L102" s="31"/>
      <c r="M102" s="31"/>
      <c r="N102" s="410"/>
      <c r="O102" s="196"/>
    </row>
    <row r="103" spans="1:18" ht="20.100000000000001" hidden="1" customHeight="1" x14ac:dyDescent="0.25">
      <c r="A103" s="174"/>
      <c r="B103" s="174"/>
      <c r="C103" s="174"/>
      <c r="D103" s="174"/>
      <c r="E103" s="171" t="s">
        <v>163</v>
      </c>
      <c r="F103" s="38"/>
      <c r="G103" s="181" t="s">
        <v>475</v>
      </c>
      <c r="H103" s="38" t="s">
        <v>164</v>
      </c>
      <c r="I103" s="282">
        <f t="shared" si="17"/>
        <v>0</v>
      </c>
      <c r="J103" s="282">
        <f t="shared" si="17"/>
        <v>0</v>
      </c>
      <c r="K103" s="282">
        <f t="shared" si="17"/>
        <v>0</v>
      </c>
      <c r="L103" s="31"/>
      <c r="M103" s="31"/>
      <c r="N103" s="410"/>
      <c r="O103" s="196"/>
    </row>
    <row r="104" spans="1:18" ht="20.100000000000001" hidden="1" customHeight="1" x14ac:dyDescent="0.25">
      <c r="A104" s="174"/>
      <c r="B104" s="174"/>
      <c r="C104" s="174"/>
      <c r="D104" s="174"/>
      <c r="E104" s="171"/>
      <c r="F104" s="38" t="s">
        <v>165</v>
      </c>
      <c r="G104" s="181" t="s">
        <v>475</v>
      </c>
      <c r="H104" s="41" t="s">
        <v>164</v>
      </c>
      <c r="I104" s="282">
        <v>0</v>
      </c>
      <c r="J104" s="282">
        <f>K104-I104</f>
        <v>0</v>
      </c>
      <c r="K104" s="282">
        <v>0</v>
      </c>
      <c r="L104" s="31"/>
      <c r="M104" s="31"/>
      <c r="N104" s="410"/>
      <c r="O104" s="196"/>
    </row>
    <row r="105" spans="1:18" s="21" customFormat="1" ht="20.100000000000001" hidden="1" customHeight="1" x14ac:dyDescent="0.25">
      <c r="A105" s="172"/>
      <c r="B105" s="172"/>
      <c r="C105" s="172">
        <v>323</v>
      </c>
      <c r="D105" s="172"/>
      <c r="E105" s="173"/>
      <c r="F105" s="43"/>
      <c r="G105" s="181" t="s">
        <v>475</v>
      </c>
      <c r="H105" s="43" t="s">
        <v>34</v>
      </c>
      <c r="I105" s="281">
        <f t="shared" ref="I105:K105" si="18">I106+I121+I147+I139+I115</f>
        <v>14420</v>
      </c>
      <c r="J105" s="281">
        <f t="shared" si="18"/>
        <v>-1300</v>
      </c>
      <c r="K105" s="281">
        <f t="shared" si="18"/>
        <v>13120</v>
      </c>
      <c r="L105" s="31">
        <f>L106+L121+L147</f>
        <v>17700</v>
      </c>
      <c r="M105" s="31">
        <f>M106+M121+M147</f>
        <v>17700</v>
      </c>
      <c r="N105" s="410"/>
      <c r="O105" s="196"/>
      <c r="P105" s="270"/>
      <c r="Q105" s="20"/>
      <c r="R105" s="20"/>
    </row>
    <row r="106" spans="1:18" s="268" customFormat="1" ht="20.100000000000001" hidden="1" customHeight="1" x14ac:dyDescent="0.25">
      <c r="A106" s="174"/>
      <c r="B106" s="174"/>
      <c r="C106" s="174"/>
      <c r="D106" s="174">
        <v>3231</v>
      </c>
      <c r="E106" s="174"/>
      <c r="F106" s="44"/>
      <c r="G106" s="181" t="s">
        <v>475</v>
      </c>
      <c r="H106" s="38" t="s">
        <v>166</v>
      </c>
      <c r="I106" s="282">
        <f>I107+I111</f>
        <v>1560</v>
      </c>
      <c r="J106" s="282">
        <f>J107+J111</f>
        <v>0</v>
      </c>
      <c r="K106" s="282">
        <f>K107+K111</f>
        <v>1560</v>
      </c>
      <c r="L106" s="34">
        <f>L107+L111</f>
        <v>7300</v>
      </c>
      <c r="M106" s="34">
        <f>M107+M111</f>
        <v>7300</v>
      </c>
      <c r="N106" s="410"/>
      <c r="O106" s="196"/>
      <c r="P106" s="411"/>
    </row>
    <row r="107" spans="1:18" ht="20.100000000000001" hidden="1" customHeight="1" x14ac:dyDescent="0.25">
      <c r="A107" s="174"/>
      <c r="B107" s="174"/>
      <c r="C107" s="174"/>
      <c r="D107" s="174"/>
      <c r="E107" s="171" t="s">
        <v>167</v>
      </c>
      <c r="F107" s="38"/>
      <c r="G107" s="181" t="s">
        <v>475</v>
      </c>
      <c r="H107" s="38" t="s">
        <v>168</v>
      </c>
      <c r="I107" s="282">
        <f t="shared" ref="I107:M107" si="19">I108</f>
        <v>1300</v>
      </c>
      <c r="J107" s="282">
        <f t="shared" si="19"/>
        <v>0</v>
      </c>
      <c r="K107" s="282">
        <f t="shared" si="19"/>
        <v>1300</v>
      </c>
      <c r="L107" s="34">
        <f t="shared" si="19"/>
        <v>2300</v>
      </c>
      <c r="M107" s="34">
        <f t="shared" si="19"/>
        <v>2300</v>
      </c>
      <c r="N107" s="410"/>
      <c r="O107" s="196"/>
    </row>
    <row r="108" spans="1:18" ht="20.100000000000001" hidden="1" customHeight="1" x14ac:dyDescent="0.25">
      <c r="A108" s="174"/>
      <c r="B108" s="174"/>
      <c r="C108" s="174"/>
      <c r="D108" s="174"/>
      <c r="E108" s="171"/>
      <c r="F108" s="38" t="s">
        <v>169</v>
      </c>
      <c r="G108" s="181" t="s">
        <v>475</v>
      </c>
      <c r="H108" s="38" t="s">
        <v>168</v>
      </c>
      <c r="I108" s="282">
        <v>1300</v>
      </c>
      <c r="J108" s="282">
        <f>K108-I108</f>
        <v>0</v>
      </c>
      <c r="K108" s="282">
        <v>1300</v>
      </c>
      <c r="L108" s="34">
        <v>2300</v>
      </c>
      <c r="M108" s="34">
        <v>2300</v>
      </c>
      <c r="N108" s="410"/>
      <c r="O108" s="196"/>
      <c r="Q108" s="194"/>
      <c r="R108" s="194"/>
    </row>
    <row r="109" spans="1:18" ht="20.100000000000001" hidden="1" customHeight="1" x14ac:dyDescent="0.25">
      <c r="A109" s="174"/>
      <c r="B109" s="174"/>
      <c r="C109" s="174"/>
      <c r="D109" s="174"/>
      <c r="E109" s="171" t="s">
        <v>170</v>
      </c>
      <c r="F109" s="38"/>
      <c r="G109" s="181" t="s">
        <v>475</v>
      </c>
      <c r="H109" s="38" t="s">
        <v>171</v>
      </c>
      <c r="I109" s="282"/>
      <c r="J109" s="282"/>
      <c r="K109" s="282"/>
      <c r="L109" s="34"/>
      <c r="M109" s="34"/>
      <c r="N109" s="410"/>
      <c r="O109" s="196"/>
      <c r="Q109" s="194"/>
      <c r="R109" s="194"/>
    </row>
    <row r="110" spans="1:18" ht="20.100000000000001" hidden="1" customHeight="1" x14ac:dyDescent="0.25">
      <c r="A110" s="174"/>
      <c r="B110" s="174"/>
      <c r="C110" s="174"/>
      <c r="D110" s="174"/>
      <c r="E110" s="171"/>
      <c r="F110" s="38" t="s">
        <v>172</v>
      </c>
      <c r="G110" s="181" t="s">
        <v>475</v>
      </c>
      <c r="H110" s="38" t="s">
        <v>171</v>
      </c>
      <c r="I110" s="282"/>
      <c r="J110" s="282"/>
      <c r="K110" s="282"/>
      <c r="L110" s="34"/>
      <c r="M110" s="34"/>
      <c r="N110" s="410"/>
      <c r="O110" s="196"/>
      <c r="Q110" s="194"/>
      <c r="R110" s="194"/>
    </row>
    <row r="111" spans="1:18" ht="20.100000000000001" hidden="1" customHeight="1" x14ac:dyDescent="0.25">
      <c r="A111" s="174"/>
      <c r="B111" s="174"/>
      <c r="C111" s="174"/>
      <c r="D111" s="174"/>
      <c r="E111" s="171" t="s">
        <v>173</v>
      </c>
      <c r="F111" s="38"/>
      <c r="G111" s="181" t="s">
        <v>475</v>
      </c>
      <c r="H111" s="38" t="s">
        <v>174</v>
      </c>
      <c r="I111" s="282">
        <f>I112</f>
        <v>260</v>
      </c>
      <c r="J111" s="282">
        <f>J112</f>
        <v>0</v>
      </c>
      <c r="K111" s="282">
        <f>K112</f>
        <v>260</v>
      </c>
      <c r="L111" s="34">
        <f>L112</f>
        <v>5000</v>
      </c>
      <c r="M111" s="34">
        <f>M112</f>
        <v>5000</v>
      </c>
      <c r="N111" s="410"/>
      <c r="O111" s="196"/>
      <c r="Q111" s="194"/>
      <c r="R111" s="194"/>
    </row>
    <row r="112" spans="1:18" ht="20.100000000000001" hidden="1" customHeight="1" x14ac:dyDescent="0.25">
      <c r="A112" s="174"/>
      <c r="B112" s="174"/>
      <c r="C112" s="174"/>
      <c r="D112" s="174"/>
      <c r="E112" s="171"/>
      <c r="F112" s="38" t="s">
        <v>175</v>
      </c>
      <c r="G112" s="181" t="s">
        <v>475</v>
      </c>
      <c r="H112" s="38" t="s">
        <v>174</v>
      </c>
      <c r="I112" s="282">
        <v>260</v>
      </c>
      <c r="J112" s="282">
        <f>K112-I112</f>
        <v>0</v>
      </c>
      <c r="K112" s="282">
        <v>260</v>
      </c>
      <c r="L112" s="34">
        <v>5000</v>
      </c>
      <c r="M112" s="34">
        <v>5000</v>
      </c>
      <c r="N112" s="410"/>
      <c r="O112" s="196"/>
      <c r="Q112" s="194"/>
      <c r="R112" s="194"/>
    </row>
    <row r="113" spans="1:18" ht="20.100000000000001" hidden="1" customHeight="1" x14ac:dyDescent="0.25">
      <c r="A113" s="174"/>
      <c r="B113" s="174"/>
      <c r="C113" s="174"/>
      <c r="D113" s="174"/>
      <c r="E113" s="171" t="s">
        <v>176</v>
      </c>
      <c r="F113" s="38"/>
      <c r="G113" s="181" t="s">
        <v>475</v>
      </c>
      <c r="H113" s="38" t="s">
        <v>177</v>
      </c>
      <c r="I113" s="282"/>
      <c r="J113" s="282"/>
      <c r="K113" s="282"/>
      <c r="L113" s="34"/>
      <c r="M113" s="34"/>
      <c r="N113" s="410"/>
      <c r="O113" s="196"/>
      <c r="Q113" s="194"/>
      <c r="R113" s="194"/>
    </row>
    <row r="114" spans="1:18" ht="20.100000000000001" hidden="1" customHeight="1" x14ac:dyDescent="0.25">
      <c r="A114" s="174"/>
      <c r="B114" s="174"/>
      <c r="C114" s="174"/>
      <c r="D114" s="174"/>
      <c r="E114" s="171"/>
      <c r="F114" s="38" t="s">
        <v>178</v>
      </c>
      <c r="G114" s="181" t="s">
        <v>475</v>
      </c>
      <c r="H114" s="38" t="s">
        <v>177</v>
      </c>
      <c r="I114" s="282"/>
      <c r="J114" s="282"/>
      <c r="K114" s="282"/>
      <c r="L114" s="34"/>
      <c r="M114" s="34"/>
      <c r="N114" s="410"/>
      <c r="O114" s="196"/>
      <c r="Q114" s="194"/>
      <c r="R114" s="194"/>
    </row>
    <row r="115" spans="1:18" ht="20.100000000000001" hidden="1" customHeight="1" x14ac:dyDescent="0.25">
      <c r="A115" s="174"/>
      <c r="B115" s="174"/>
      <c r="C115" s="174"/>
      <c r="D115" s="174">
        <v>3232</v>
      </c>
      <c r="E115" s="171"/>
      <c r="F115" s="38"/>
      <c r="G115" s="181" t="s">
        <v>475</v>
      </c>
      <c r="H115" s="38" t="s">
        <v>36</v>
      </c>
      <c r="I115" s="282">
        <f>I116</f>
        <v>2600</v>
      </c>
      <c r="J115" s="282">
        <f>J116</f>
        <v>800</v>
      </c>
      <c r="K115" s="282">
        <f>K116</f>
        <v>3400</v>
      </c>
      <c r="L115" s="34"/>
      <c r="M115" s="34"/>
      <c r="N115" s="410"/>
      <c r="O115" s="196"/>
      <c r="Q115" s="194"/>
      <c r="R115" s="194"/>
    </row>
    <row r="116" spans="1:18" ht="25.5" hidden="1" x14ac:dyDescent="0.25">
      <c r="A116" s="174"/>
      <c r="B116" s="174"/>
      <c r="C116" s="174"/>
      <c r="D116" s="174"/>
      <c r="E116" s="171" t="s">
        <v>179</v>
      </c>
      <c r="F116" s="38"/>
      <c r="G116" s="181" t="s">
        <v>475</v>
      </c>
      <c r="H116" s="38" t="s">
        <v>180</v>
      </c>
      <c r="I116" s="282">
        <f t="shared" ref="I116:K116" si="20">I117</f>
        <v>2600</v>
      </c>
      <c r="J116" s="282">
        <f t="shared" si="20"/>
        <v>800</v>
      </c>
      <c r="K116" s="282">
        <f t="shared" si="20"/>
        <v>3400</v>
      </c>
      <c r="L116" s="34"/>
      <c r="M116" s="34"/>
      <c r="N116" s="410"/>
      <c r="O116" s="196"/>
      <c r="Q116" s="194"/>
      <c r="R116" s="194"/>
    </row>
    <row r="117" spans="1:18" ht="25.5" hidden="1" x14ac:dyDescent="0.25">
      <c r="A117" s="174"/>
      <c r="B117" s="174"/>
      <c r="C117" s="174"/>
      <c r="D117" s="174"/>
      <c r="E117" s="171"/>
      <c r="F117" s="38" t="s">
        <v>181</v>
      </c>
      <c r="G117" s="181" t="s">
        <v>475</v>
      </c>
      <c r="H117" s="38" t="s">
        <v>180</v>
      </c>
      <c r="I117" s="282">
        <v>2600</v>
      </c>
      <c r="J117" s="282">
        <f>K117-I117</f>
        <v>800</v>
      </c>
      <c r="K117" s="282">
        <v>3400</v>
      </c>
      <c r="L117" s="34"/>
      <c r="M117" s="34"/>
      <c r="N117" s="410"/>
      <c r="O117" s="196"/>
      <c r="Q117" s="194"/>
      <c r="R117" s="194"/>
    </row>
    <row r="118" spans="1:18" ht="20.100000000000001" hidden="1" customHeight="1" x14ac:dyDescent="0.25">
      <c r="A118" s="174"/>
      <c r="B118" s="174"/>
      <c r="C118" s="174"/>
      <c r="D118" s="174">
        <v>3233</v>
      </c>
      <c r="E118" s="174"/>
      <c r="F118" s="44"/>
      <c r="G118" s="181" t="s">
        <v>475</v>
      </c>
      <c r="H118" s="38" t="s">
        <v>37</v>
      </c>
      <c r="I118" s="282"/>
      <c r="J118" s="282"/>
      <c r="K118" s="282"/>
      <c r="L118" s="34"/>
      <c r="M118" s="34"/>
      <c r="N118" s="410"/>
      <c r="O118" s="196"/>
      <c r="Q118" s="194"/>
      <c r="R118" s="194"/>
    </row>
    <row r="119" spans="1:18" ht="20.100000000000001" hidden="1" customHeight="1" x14ac:dyDescent="0.25">
      <c r="A119" s="174"/>
      <c r="B119" s="174"/>
      <c r="C119" s="174"/>
      <c r="D119" s="174"/>
      <c r="E119" s="171" t="s">
        <v>182</v>
      </c>
      <c r="F119" s="38"/>
      <c r="G119" s="181" t="s">
        <v>475</v>
      </c>
      <c r="H119" s="38" t="s">
        <v>183</v>
      </c>
      <c r="I119" s="282"/>
      <c r="J119" s="282"/>
      <c r="K119" s="282"/>
      <c r="L119" s="34"/>
      <c r="M119" s="34"/>
      <c r="N119" s="410"/>
      <c r="O119" s="196"/>
      <c r="Q119" s="194"/>
      <c r="R119" s="194"/>
    </row>
    <row r="120" spans="1:18" ht="20.100000000000001" hidden="1" customHeight="1" x14ac:dyDescent="0.25">
      <c r="A120" s="174"/>
      <c r="B120" s="174"/>
      <c r="C120" s="174"/>
      <c r="D120" s="174"/>
      <c r="E120" s="171"/>
      <c r="F120" s="38" t="s">
        <v>184</v>
      </c>
      <c r="G120" s="181" t="s">
        <v>475</v>
      </c>
      <c r="H120" s="38" t="s">
        <v>183</v>
      </c>
      <c r="I120" s="282"/>
      <c r="J120" s="282"/>
      <c r="K120" s="282"/>
      <c r="L120" s="34"/>
      <c r="M120" s="34"/>
      <c r="N120" s="410"/>
      <c r="O120" s="196"/>
      <c r="Q120" s="194"/>
      <c r="R120" s="194"/>
    </row>
    <row r="121" spans="1:18" ht="20.100000000000001" hidden="1" customHeight="1" x14ac:dyDescent="0.25">
      <c r="A121" s="174"/>
      <c r="B121" s="174"/>
      <c r="C121" s="174"/>
      <c r="D121" s="174">
        <v>3234</v>
      </c>
      <c r="E121" s="174"/>
      <c r="F121" s="44"/>
      <c r="G121" s="181" t="s">
        <v>475</v>
      </c>
      <c r="H121" s="38" t="s">
        <v>38</v>
      </c>
      <c r="I121" s="282">
        <f t="shared" ref="I121:K121" si="21">I126+I124+I122</f>
        <v>1660</v>
      </c>
      <c r="J121" s="282">
        <f t="shared" si="21"/>
        <v>0</v>
      </c>
      <c r="K121" s="282">
        <f t="shared" si="21"/>
        <v>1660</v>
      </c>
      <c r="L121" s="34">
        <f>L126</f>
        <v>3000</v>
      </c>
      <c r="M121" s="34">
        <f>M126</f>
        <v>3000</v>
      </c>
      <c r="N121" s="410"/>
      <c r="O121" s="196"/>
      <c r="P121" s="68"/>
      <c r="Q121" s="194"/>
      <c r="R121" s="194"/>
    </row>
    <row r="122" spans="1:18" ht="20.100000000000001" hidden="1" customHeight="1" x14ac:dyDescent="0.25">
      <c r="A122" s="174"/>
      <c r="B122" s="174"/>
      <c r="C122" s="174"/>
      <c r="D122" s="174"/>
      <c r="E122" s="171" t="s">
        <v>185</v>
      </c>
      <c r="F122" s="38"/>
      <c r="G122" s="181" t="s">
        <v>475</v>
      </c>
      <c r="H122" s="38" t="s">
        <v>186</v>
      </c>
      <c r="I122" s="282">
        <f>I123</f>
        <v>260</v>
      </c>
      <c r="J122" s="282">
        <f t="shared" ref="J122" si="22">J123</f>
        <v>0</v>
      </c>
      <c r="K122" s="282">
        <f>K123</f>
        <v>260</v>
      </c>
      <c r="L122" s="34"/>
      <c r="M122" s="34"/>
      <c r="N122" s="410"/>
      <c r="O122" s="196"/>
      <c r="Q122" s="194"/>
      <c r="R122" s="194"/>
    </row>
    <row r="123" spans="1:18" ht="20.100000000000001" hidden="1" customHeight="1" x14ac:dyDescent="0.25">
      <c r="A123" s="174"/>
      <c r="B123" s="174"/>
      <c r="C123" s="174"/>
      <c r="D123" s="174"/>
      <c r="E123" s="171"/>
      <c r="F123" s="38" t="s">
        <v>187</v>
      </c>
      <c r="G123" s="181" t="s">
        <v>475</v>
      </c>
      <c r="H123" s="38" t="s">
        <v>186</v>
      </c>
      <c r="I123" s="282">
        <v>260</v>
      </c>
      <c r="J123" s="282">
        <f>K123-I123</f>
        <v>0</v>
      </c>
      <c r="K123" s="282">
        <v>260</v>
      </c>
      <c r="L123" s="34"/>
      <c r="M123" s="34"/>
      <c r="N123" s="410"/>
      <c r="O123" s="196"/>
      <c r="Q123" s="194"/>
      <c r="R123" s="194"/>
    </row>
    <row r="124" spans="1:18" ht="20.100000000000001" hidden="1" customHeight="1" x14ac:dyDescent="0.25">
      <c r="A124" s="174"/>
      <c r="B124" s="174"/>
      <c r="C124" s="174"/>
      <c r="D124" s="174"/>
      <c r="E124" s="171" t="s">
        <v>188</v>
      </c>
      <c r="F124" s="38"/>
      <c r="G124" s="181" t="s">
        <v>475</v>
      </c>
      <c r="H124" s="38" t="s">
        <v>189</v>
      </c>
      <c r="I124" s="282">
        <f t="shared" ref="I124:K124" si="23">I125</f>
        <v>1000</v>
      </c>
      <c r="J124" s="282">
        <f t="shared" si="23"/>
        <v>0</v>
      </c>
      <c r="K124" s="282">
        <f t="shared" si="23"/>
        <v>1000</v>
      </c>
      <c r="L124" s="34"/>
      <c r="M124" s="34"/>
      <c r="N124" s="410"/>
      <c r="O124" s="196"/>
      <c r="P124" s="412"/>
      <c r="Q124" s="194"/>
      <c r="R124" s="194"/>
    </row>
    <row r="125" spans="1:18" ht="20.100000000000001" hidden="1" customHeight="1" x14ac:dyDescent="0.25">
      <c r="A125" s="174"/>
      <c r="B125" s="174"/>
      <c r="C125" s="174"/>
      <c r="D125" s="174"/>
      <c r="E125" s="171"/>
      <c r="F125" s="38" t="s">
        <v>190</v>
      </c>
      <c r="G125" s="181" t="s">
        <v>475</v>
      </c>
      <c r="H125" s="38" t="s">
        <v>189</v>
      </c>
      <c r="I125" s="282">
        <v>1000</v>
      </c>
      <c r="J125" s="282">
        <f>K125-I125</f>
        <v>0</v>
      </c>
      <c r="K125" s="282">
        <v>1000</v>
      </c>
      <c r="L125" s="34"/>
      <c r="M125" s="34"/>
      <c r="N125" s="410"/>
      <c r="O125" s="196"/>
      <c r="P125" s="412"/>
      <c r="Q125" s="194"/>
      <c r="R125" s="194"/>
    </row>
    <row r="126" spans="1:18" ht="20.100000000000001" hidden="1" customHeight="1" x14ac:dyDescent="0.25">
      <c r="A126" s="174"/>
      <c r="B126" s="174"/>
      <c r="C126" s="174"/>
      <c r="D126" s="174"/>
      <c r="E126" s="171" t="s">
        <v>191</v>
      </c>
      <c r="F126" s="38"/>
      <c r="G126" s="181" t="s">
        <v>475</v>
      </c>
      <c r="H126" s="38" t="s">
        <v>192</v>
      </c>
      <c r="I126" s="282">
        <f t="shared" ref="I126:K126" si="24">I128+I127</f>
        <v>400</v>
      </c>
      <c r="J126" s="282">
        <f t="shared" si="24"/>
        <v>0</v>
      </c>
      <c r="K126" s="282">
        <f t="shared" si="24"/>
        <v>400</v>
      </c>
      <c r="L126" s="34">
        <f>L128</f>
        <v>3000</v>
      </c>
      <c r="M126" s="34">
        <f>M128</f>
        <v>3000</v>
      </c>
      <c r="N126" s="410"/>
      <c r="O126" s="196"/>
      <c r="P126" s="412"/>
      <c r="Q126" s="194"/>
      <c r="R126" s="194"/>
    </row>
    <row r="127" spans="1:18" ht="20.100000000000001" hidden="1" customHeight="1" x14ac:dyDescent="0.25">
      <c r="A127" s="174"/>
      <c r="B127" s="174"/>
      <c r="C127" s="174"/>
      <c r="D127" s="174"/>
      <c r="E127" s="171"/>
      <c r="F127" s="38" t="s">
        <v>193</v>
      </c>
      <c r="G127" s="181" t="s">
        <v>475</v>
      </c>
      <c r="H127" s="38" t="s">
        <v>192</v>
      </c>
      <c r="I127" s="282">
        <v>0</v>
      </c>
      <c r="J127" s="282">
        <f>K127-I127</f>
        <v>0</v>
      </c>
      <c r="K127" s="282">
        <v>0</v>
      </c>
      <c r="L127" s="34"/>
      <c r="M127" s="34"/>
      <c r="N127" s="410"/>
      <c r="O127" s="196"/>
      <c r="P127" s="412"/>
      <c r="Q127" s="194"/>
      <c r="R127" s="194"/>
    </row>
    <row r="128" spans="1:18" ht="30" hidden="1" customHeight="1" x14ac:dyDescent="0.25">
      <c r="A128" s="174"/>
      <c r="B128" s="174"/>
      <c r="C128" s="174"/>
      <c r="D128" s="174"/>
      <c r="E128" s="171"/>
      <c r="F128" s="38" t="s">
        <v>194</v>
      </c>
      <c r="G128" s="181" t="s">
        <v>475</v>
      </c>
      <c r="H128" s="38" t="s">
        <v>195</v>
      </c>
      <c r="I128" s="282">
        <v>400</v>
      </c>
      <c r="J128" s="282">
        <f>K128-I128</f>
        <v>0</v>
      </c>
      <c r="K128" s="282">
        <v>400</v>
      </c>
      <c r="L128" s="34">
        <v>3000</v>
      </c>
      <c r="M128" s="34">
        <v>3000</v>
      </c>
      <c r="N128" s="410"/>
      <c r="O128" s="196"/>
      <c r="P128" s="412"/>
      <c r="Q128" s="194"/>
      <c r="R128" s="194"/>
    </row>
    <row r="129" spans="1:18" ht="20.100000000000001" hidden="1" customHeight="1" x14ac:dyDescent="0.25">
      <c r="A129" s="174"/>
      <c r="B129" s="174"/>
      <c r="C129" s="174"/>
      <c r="D129" s="174">
        <v>3235</v>
      </c>
      <c r="E129" s="174"/>
      <c r="F129" s="44"/>
      <c r="G129" s="181" t="s">
        <v>475</v>
      </c>
      <c r="H129" s="38" t="s">
        <v>39</v>
      </c>
      <c r="I129" s="282"/>
      <c r="J129" s="282"/>
      <c r="K129" s="282"/>
      <c r="L129" s="34"/>
      <c r="M129" s="34"/>
      <c r="N129" s="410"/>
      <c r="O129" s="196"/>
      <c r="P129" s="412"/>
      <c r="Q129" s="194"/>
      <c r="R129" s="194"/>
    </row>
    <row r="130" spans="1:18" ht="20.100000000000001" hidden="1" customHeight="1" x14ac:dyDescent="0.25">
      <c r="A130" s="174"/>
      <c r="B130" s="174"/>
      <c r="C130" s="174"/>
      <c r="D130" s="174"/>
      <c r="E130" s="171" t="s">
        <v>196</v>
      </c>
      <c r="F130" s="38"/>
      <c r="G130" s="181" t="s">
        <v>475</v>
      </c>
      <c r="H130" s="38" t="s">
        <v>197</v>
      </c>
      <c r="I130" s="282"/>
      <c r="J130" s="282"/>
      <c r="K130" s="282"/>
      <c r="L130" s="34"/>
      <c r="M130" s="34"/>
      <c r="N130" s="410"/>
      <c r="O130" s="196"/>
      <c r="P130" s="412"/>
      <c r="Q130" s="194"/>
      <c r="R130" s="194"/>
    </row>
    <row r="131" spans="1:18" ht="20.100000000000001" hidden="1" customHeight="1" x14ac:dyDescent="0.25">
      <c r="A131" s="174"/>
      <c r="B131" s="174"/>
      <c r="C131" s="174"/>
      <c r="D131" s="174"/>
      <c r="E131" s="171"/>
      <c r="F131" s="38" t="s">
        <v>198</v>
      </c>
      <c r="G131" s="181" t="s">
        <v>475</v>
      </c>
      <c r="H131" s="38" t="s">
        <v>197</v>
      </c>
      <c r="I131" s="282"/>
      <c r="J131" s="282"/>
      <c r="K131" s="282"/>
      <c r="L131" s="34"/>
      <c r="M131" s="34"/>
      <c r="N131" s="410"/>
      <c r="O131" s="196"/>
      <c r="P131" s="412"/>
      <c r="Q131" s="194"/>
      <c r="R131" s="194"/>
    </row>
    <row r="132" spans="1:18" ht="20.100000000000001" hidden="1" customHeight="1" x14ac:dyDescent="0.25">
      <c r="A132" s="174"/>
      <c r="B132" s="174"/>
      <c r="C132" s="174"/>
      <c r="D132" s="174"/>
      <c r="E132" s="171" t="s">
        <v>199</v>
      </c>
      <c r="F132" s="38"/>
      <c r="G132" s="181" t="s">
        <v>475</v>
      </c>
      <c r="H132" s="38" t="s">
        <v>200</v>
      </c>
      <c r="I132" s="282"/>
      <c r="J132" s="282"/>
      <c r="K132" s="282"/>
      <c r="L132" s="34"/>
      <c r="M132" s="34"/>
      <c r="N132" s="410"/>
      <c r="O132" s="196"/>
      <c r="P132" s="412"/>
      <c r="Q132" s="194"/>
      <c r="R132" s="194"/>
    </row>
    <row r="133" spans="1:18" ht="20.100000000000001" hidden="1" customHeight="1" x14ac:dyDescent="0.25">
      <c r="A133" s="174"/>
      <c r="B133" s="174"/>
      <c r="C133" s="174"/>
      <c r="D133" s="174"/>
      <c r="E133" s="171"/>
      <c r="F133" s="38" t="s">
        <v>201</v>
      </c>
      <c r="G133" s="181" t="s">
        <v>475</v>
      </c>
      <c r="H133" s="38" t="s">
        <v>200</v>
      </c>
      <c r="I133" s="282"/>
      <c r="J133" s="282"/>
      <c r="K133" s="282"/>
      <c r="L133" s="34"/>
      <c r="M133" s="34"/>
      <c r="N133" s="410"/>
      <c r="O133" s="196"/>
      <c r="P133" s="412"/>
      <c r="Q133" s="194"/>
      <c r="R133" s="194"/>
    </row>
    <row r="134" spans="1:18" ht="20.100000000000001" hidden="1" customHeight="1" x14ac:dyDescent="0.25">
      <c r="A134" s="174"/>
      <c r="B134" s="174"/>
      <c r="C134" s="174"/>
      <c r="D134" s="174">
        <v>3236</v>
      </c>
      <c r="E134" s="174"/>
      <c r="F134" s="44"/>
      <c r="G134" s="181" t="s">
        <v>475</v>
      </c>
      <c r="H134" s="38" t="s">
        <v>40</v>
      </c>
      <c r="I134" s="282"/>
      <c r="J134" s="282"/>
      <c r="K134" s="282"/>
      <c r="L134" s="34"/>
      <c r="M134" s="34"/>
      <c r="N134" s="410"/>
      <c r="O134" s="196"/>
      <c r="P134" s="412"/>
      <c r="Q134" s="194"/>
      <c r="R134" s="194"/>
    </row>
    <row r="135" spans="1:18" ht="20.100000000000001" hidden="1" customHeight="1" x14ac:dyDescent="0.25">
      <c r="A135" s="174"/>
      <c r="B135" s="174"/>
      <c r="C135" s="174"/>
      <c r="D135" s="174"/>
      <c r="E135" s="171" t="s">
        <v>202</v>
      </c>
      <c r="F135" s="38"/>
      <c r="G135" s="181" t="s">
        <v>475</v>
      </c>
      <c r="H135" s="38" t="s">
        <v>203</v>
      </c>
      <c r="I135" s="282"/>
      <c r="J135" s="282"/>
      <c r="K135" s="282"/>
      <c r="L135" s="34"/>
      <c r="M135" s="34"/>
      <c r="N135" s="410"/>
      <c r="O135" s="196"/>
      <c r="P135" s="412"/>
      <c r="Q135" s="194"/>
      <c r="R135" s="194"/>
    </row>
    <row r="136" spans="1:18" ht="20.100000000000001" hidden="1" customHeight="1" x14ac:dyDescent="0.25">
      <c r="A136" s="174"/>
      <c r="B136" s="174"/>
      <c r="C136" s="174"/>
      <c r="D136" s="174"/>
      <c r="E136" s="171"/>
      <c r="F136" s="38" t="s">
        <v>204</v>
      </c>
      <c r="G136" s="181" t="s">
        <v>475</v>
      </c>
      <c r="H136" s="38" t="s">
        <v>203</v>
      </c>
      <c r="I136" s="282"/>
      <c r="J136" s="282"/>
      <c r="K136" s="282"/>
      <c r="L136" s="34"/>
      <c r="M136" s="34"/>
      <c r="N136" s="410"/>
      <c r="O136" s="196"/>
      <c r="P136" s="412"/>
      <c r="Q136" s="194"/>
      <c r="R136" s="194"/>
    </row>
    <row r="137" spans="1:18" ht="20.100000000000001" hidden="1" customHeight="1" x14ac:dyDescent="0.25">
      <c r="A137" s="174"/>
      <c r="B137" s="174"/>
      <c r="C137" s="174"/>
      <c r="D137" s="174"/>
      <c r="E137" s="171" t="s">
        <v>205</v>
      </c>
      <c r="F137" s="38"/>
      <c r="G137" s="181" t="s">
        <v>475</v>
      </c>
      <c r="H137" s="38" t="s">
        <v>206</v>
      </c>
      <c r="I137" s="282"/>
      <c r="J137" s="282"/>
      <c r="K137" s="282"/>
      <c r="L137" s="34"/>
      <c r="M137" s="34"/>
      <c r="N137" s="410"/>
      <c r="O137" s="196"/>
      <c r="P137" s="412"/>
      <c r="Q137" s="194"/>
      <c r="R137" s="194"/>
    </row>
    <row r="138" spans="1:18" ht="20.100000000000001" hidden="1" customHeight="1" x14ac:dyDescent="0.25">
      <c r="A138" s="174"/>
      <c r="B138" s="174"/>
      <c r="C138" s="174"/>
      <c r="D138" s="174"/>
      <c r="E138" s="171"/>
      <c r="F138" s="38" t="s">
        <v>207</v>
      </c>
      <c r="G138" s="181" t="s">
        <v>475</v>
      </c>
      <c r="H138" s="38" t="s">
        <v>206</v>
      </c>
      <c r="I138" s="282"/>
      <c r="J138" s="282"/>
      <c r="K138" s="282"/>
      <c r="L138" s="34"/>
      <c r="M138" s="34"/>
      <c r="N138" s="410"/>
      <c r="O138" s="196"/>
      <c r="P138" s="412"/>
      <c r="Q138" s="194"/>
      <c r="R138" s="194"/>
    </row>
    <row r="139" spans="1:18" ht="20.100000000000001" hidden="1" customHeight="1" x14ac:dyDescent="0.25">
      <c r="A139" s="174"/>
      <c r="B139" s="174"/>
      <c r="C139" s="174"/>
      <c r="D139" s="174">
        <v>3237</v>
      </c>
      <c r="E139" s="174"/>
      <c r="F139" s="44"/>
      <c r="G139" s="181" t="s">
        <v>475</v>
      </c>
      <c r="H139" s="38" t="s">
        <v>208</v>
      </c>
      <c r="I139" s="282">
        <f t="shared" ref="I139:K140" si="25">I140</f>
        <v>2600</v>
      </c>
      <c r="J139" s="282">
        <f t="shared" si="25"/>
        <v>-2600</v>
      </c>
      <c r="K139" s="282">
        <f t="shared" si="25"/>
        <v>0</v>
      </c>
      <c r="L139" s="34"/>
      <c r="M139" s="34"/>
      <c r="N139" s="410"/>
      <c r="O139" s="196"/>
      <c r="P139" s="412"/>
      <c r="Q139" s="194"/>
      <c r="R139" s="194"/>
    </row>
    <row r="140" spans="1:18" ht="20.100000000000001" hidden="1" customHeight="1" x14ac:dyDescent="0.25">
      <c r="A140" s="174"/>
      <c r="B140" s="174"/>
      <c r="C140" s="174"/>
      <c r="D140" s="174"/>
      <c r="E140" s="171" t="s">
        <v>209</v>
      </c>
      <c r="F140" s="38"/>
      <c r="G140" s="181" t="s">
        <v>475</v>
      </c>
      <c r="H140" s="38" t="s">
        <v>210</v>
      </c>
      <c r="I140" s="282">
        <f t="shared" si="25"/>
        <v>2600</v>
      </c>
      <c r="J140" s="282">
        <f t="shared" si="25"/>
        <v>-2600</v>
      </c>
      <c r="K140" s="282">
        <f t="shared" si="25"/>
        <v>0</v>
      </c>
      <c r="L140" s="34"/>
      <c r="M140" s="34"/>
      <c r="N140" s="410"/>
      <c r="O140" s="196"/>
      <c r="P140" s="412"/>
      <c r="Q140" s="194"/>
      <c r="R140" s="194"/>
    </row>
    <row r="141" spans="1:18" ht="20.100000000000001" hidden="1" customHeight="1" x14ac:dyDescent="0.25">
      <c r="A141" s="174"/>
      <c r="B141" s="174"/>
      <c r="C141" s="174"/>
      <c r="D141" s="174"/>
      <c r="E141" s="171"/>
      <c r="F141" s="38" t="s">
        <v>211</v>
      </c>
      <c r="G141" s="181" t="s">
        <v>475</v>
      </c>
      <c r="H141" s="38" t="s">
        <v>210</v>
      </c>
      <c r="I141" s="282">
        <v>2600</v>
      </c>
      <c r="J141" s="282">
        <f>K141-I141</f>
        <v>-2600</v>
      </c>
      <c r="K141" s="282">
        <v>0</v>
      </c>
      <c r="L141" s="34"/>
      <c r="M141" s="34"/>
      <c r="N141" s="410"/>
      <c r="O141" s="196"/>
      <c r="P141" s="412"/>
      <c r="Q141" s="194"/>
      <c r="R141" s="194"/>
    </row>
    <row r="142" spans="1:18" ht="20.100000000000001" hidden="1" customHeight="1" x14ac:dyDescent="0.25">
      <c r="A142" s="174"/>
      <c r="B142" s="174"/>
      <c r="C142" s="174"/>
      <c r="D142" s="174"/>
      <c r="E142" s="171" t="s">
        <v>212</v>
      </c>
      <c r="F142" s="38"/>
      <c r="G142" s="181" t="s">
        <v>475</v>
      </c>
      <c r="H142" s="38" t="s">
        <v>213</v>
      </c>
      <c r="I142" s="282"/>
      <c r="J142" s="282"/>
      <c r="K142" s="282"/>
      <c r="L142" s="34"/>
      <c r="M142" s="34"/>
      <c r="N142" s="410"/>
      <c r="O142" s="196"/>
      <c r="P142" s="412"/>
      <c r="Q142" s="194"/>
      <c r="R142" s="194"/>
    </row>
    <row r="143" spans="1:18" ht="20.100000000000001" hidden="1" customHeight="1" x14ac:dyDescent="0.25">
      <c r="A143" s="174"/>
      <c r="B143" s="174"/>
      <c r="C143" s="174"/>
      <c r="D143" s="174"/>
      <c r="E143" s="171"/>
      <c r="F143" s="38" t="s">
        <v>214</v>
      </c>
      <c r="G143" s="181" t="s">
        <v>475</v>
      </c>
      <c r="H143" s="38" t="s">
        <v>213</v>
      </c>
      <c r="I143" s="282"/>
      <c r="J143" s="282"/>
      <c r="K143" s="282"/>
      <c r="L143" s="34"/>
      <c r="M143" s="34"/>
      <c r="N143" s="410"/>
      <c r="O143" s="196"/>
      <c r="P143" s="412"/>
      <c r="Q143" s="194"/>
      <c r="R143" s="194"/>
    </row>
    <row r="144" spans="1:18" ht="20.100000000000001" hidden="1" customHeight="1" x14ac:dyDescent="0.25">
      <c r="A144" s="174"/>
      <c r="B144" s="174"/>
      <c r="C144" s="174"/>
      <c r="D144" s="174"/>
      <c r="E144" s="171" t="s">
        <v>215</v>
      </c>
      <c r="F144" s="38"/>
      <c r="G144" s="181" t="s">
        <v>475</v>
      </c>
      <c r="H144" s="38" t="s">
        <v>216</v>
      </c>
      <c r="I144" s="282"/>
      <c r="J144" s="282"/>
      <c r="K144" s="282"/>
      <c r="L144" s="34"/>
      <c r="M144" s="34"/>
      <c r="N144" s="410"/>
      <c r="O144" s="196"/>
      <c r="P144" s="412"/>
      <c r="Q144" s="194"/>
      <c r="R144" s="194"/>
    </row>
    <row r="145" spans="1:18" ht="20.100000000000001" hidden="1" customHeight="1" x14ac:dyDescent="0.25">
      <c r="A145" s="174"/>
      <c r="B145" s="174"/>
      <c r="C145" s="174"/>
      <c r="D145" s="174"/>
      <c r="E145" s="171"/>
      <c r="F145" s="38" t="s">
        <v>217</v>
      </c>
      <c r="G145" s="181" t="s">
        <v>475</v>
      </c>
      <c r="H145" s="38" t="s">
        <v>216</v>
      </c>
      <c r="I145" s="282"/>
      <c r="J145" s="282"/>
      <c r="K145" s="282"/>
      <c r="L145" s="34"/>
      <c r="M145" s="34"/>
      <c r="N145" s="410"/>
      <c r="O145" s="196"/>
      <c r="P145" s="412"/>
      <c r="Q145" s="194"/>
      <c r="R145" s="194"/>
    </row>
    <row r="146" spans="1:18" ht="20.100000000000001" hidden="1" customHeight="1" x14ac:dyDescent="0.25">
      <c r="A146" s="174"/>
      <c r="B146" s="174"/>
      <c r="C146" s="174"/>
      <c r="D146" s="174"/>
      <c r="E146" s="171"/>
      <c r="F146" s="38" t="s">
        <v>218</v>
      </c>
      <c r="G146" s="181" t="s">
        <v>475</v>
      </c>
      <c r="H146" s="38" t="s">
        <v>216</v>
      </c>
      <c r="I146" s="282"/>
      <c r="J146" s="282"/>
      <c r="K146" s="282"/>
      <c r="L146" s="34"/>
      <c r="M146" s="34"/>
      <c r="N146" s="410"/>
      <c r="O146" s="196"/>
      <c r="P146" s="412"/>
      <c r="Q146" s="194"/>
      <c r="R146" s="194"/>
    </row>
    <row r="147" spans="1:18" ht="20.100000000000001" hidden="1" customHeight="1" x14ac:dyDescent="0.25">
      <c r="A147" s="174"/>
      <c r="B147" s="174"/>
      <c r="C147" s="174"/>
      <c r="D147" s="174">
        <v>3238</v>
      </c>
      <c r="E147" s="171"/>
      <c r="F147" s="38"/>
      <c r="G147" s="181" t="s">
        <v>475</v>
      </c>
      <c r="H147" s="38" t="s">
        <v>220</v>
      </c>
      <c r="I147" s="282">
        <f t="shared" ref="I147:M148" si="26">I148</f>
        <v>6000</v>
      </c>
      <c r="J147" s="282">
        <f t="shared" si="26"/>
        <v>500</v>
      </c>
      <c r="K147" s="282">
        <f t="shared" si="26"/>
        <v>6500</v>
      </c>
      <c r="L147" s="34">
        <f t="shared" si="26"/>
        <v>7400</v>
      </c>
      <c r="M147" s="34">
        <f t="shared" si="26"/>
        <v>7400</v>
      </c>
      <c r="N147" s="410"/>
      <c r="O147" s="196"/>
      <c r="P147" s="412"/>
      <c r="Q147" s="194"/>
      <c r="R147" s="194"/>
    </row>
    <row r="148" spans="1:18" ht="20.100000000000001" hidden="1" customHeight="1" x14ac:dyDescent="0.25">
      <c r="A148" s="174"/>
      <c r="B148" s="174"/>
      <c r="C148" s="174"/>
      <c r="D148" s="174"/>
      <c r="E148" s="171" t="s">
        <v>219</v>
      </c>
      <c r="F148" s="38"/>
      <c r="G148" s="181" t="s">
        <v>475</v>
      </c>
      <c r="H148" s="38" t="s">
        <v>220</v>
      </c>
      <c r="I148" s="282">
        <f t="shared" si="26"/>
        <v>6000</v>
      </c>
      <c r="J148" s="282">
        <f t="shared" si="26"/>
        <v>500</v>
      </c>
      <c r="K148" s="282">
        <f t="shared" si="26"/>
        <v>6500</v>
      </c>
      <c r="L148" s="34">
        <f t="shared" si="26"/>
        <v>7400</v>
      </c>
      <c r="M148" s="34">
        <f t="shared" si="26"/>
        <v>7400</v>
      </c>
      <c r="N148" s="410"/>
      <c r="O148" s="196"/>
      <c r="P148" s="412"/>
      <c r="Q148" s="194"/>
      <c r="R148" s="194"/>
    </row>
    <row r="149" spans="1:18" ht="20.100000000000001" hidden="1" customHeight="1" x14ac:dyDescent="0.25">
      <c r="A149" s="174"/>
      <c r="B149" s="174"/>
      <c r="C149" s="174"/>
      <c r="D149" s="174"/>
      <c r="E149" s="171"/>
      <c r="F149" s="38" t="s">
        <v>221</v>
      </c>
      <c r="G149" s="181" t="s">
        <v>475</v>
      </c>
      <c r="H149" s="38" t="s">
        <v>220</v>
      </c>
      <c r="I149" s="282">
        <v>6000</v>
      </c>
      <c r="J149" s="282">
        <f>K149-I149</f>
        <v>500</v>
      </c>
      <c r="K149" s="282">
        <v>6500</v>
      </c>
      <c r="L149" s="34">
        <v>7400</v>
      </c>
      <c r="M149" s="34">
        <v>7400</v>
      </c>
      <c r="N149" s="410"/>
      <c r="O149" s="196"/>
      <c r="P149" s="412"/>
      <c r="Q149" s="194"/>
      <c r="R149" s="194"/>
    </row>
    <row r="150" spans="1:18" ht="20.100000000000001" hidden="1" customHeight="1" x14ac:dyDescent="0.25">
      <c r="A150" s="174"/>
      <c r="B150" s="174"/>
      <c r="C150" s="174"/>
      <c r="D150" s="174">
        <v>3239</v>
      </c>
      <c r="E150" s="171"/>
      <c r="F150" s="38"/>
      <c r="G150" s="181" t="s">
        <v>475</v>
      </c>
      <c r="H150" s="38" t="s">
        <v>42</v>
      </c>
      <c r="I150" s="282"/>
      <c r="J150" s="282"/>
      <c r="K150" s="282"/>
      <c r="L150" s="31"/>
      <c r="M150" s="31"/>
      <c r="N150" s="410"/>
      <c r="O150" s="196"/>
      <c r="P150" s="412"/>
      <c r="Q150" s="194"/>
      <c r="R150" s="194"/>
    </row>
    <row r="151" spans="1:18" ht="20.100000000000001" hidden="1" customHeight="1" x14ac:dyDescent="0.25">
      <c r="A151" s="174"/>
      <c r="B151" s="174"/>
      <c r="C151" s="174"/>
      <c r="D151" s="174"/>
      <c r="E151" s="171" t="s">
        <v>222</v>
      </c>
      <c r="F151" s="38"/>
      <c r="G151" s="181" t="s">
        <v>475</v>
      </c>
      <c r="H151" s="38" t="s">
        <v>223</v>
      </c>
      <c r="I151" s="282"/>
      <c r="J151" s="282"/>
      <c r="K151" s="282"/>
      <c r="L151" s="31"/>
      <c r="M151" s="31"/>
      <c r="N151" s="410"/>
      <c r="O151" s="196"/>
      <c r="P151" s="412"/>
      <c r="Q151" s="194"/>
      <c r="R151" s="194"/>
    </row>
    <row r="152" spans="1:18" ht="20.100000000000001" hidden="1" customHeight="1" x14ac:dyDescent="0.25">
      <c r="A152" s="174"/>
      <c r="B152" s="174"/>
      <c r="C152" s="174"/>
      <c r="D152" s="174"/>
      <c r="E152" s="171"/>
      <c r="F152" s="38" t="s">
        <v>224</v>
      </c>
      <c r="G152" s="181" t="s">
        <v>475</v>
      </c>
      <c r="H152" s="38" t="s">
        <v>223</v>
      </c>
      <c r="I152" s="282"/>
      <c r="J152" s="282"/>
      <c r="K152" s="282"/>
      <c r="L152" s="31"/>
      <c r="M152" s="31"/>
      <c r="N152" s="410"/>
      <c r="O152" s="196"/>
      <c r="P152" s="412"/>
      <c r="Q152" s="194"/>
      <c r="R152" s="194"/>
    </row>
    <row r="153" spans="1:18" ht="20.100000000000001" hidden="1" customHeight="1" x14ac:dyDescent="0.25">
      <c r="A153" s="174"/>
      <c r="B153" s="174"/>
      <c r="C153" s="174"/>
      <c r="D153" s="174"/>
      <c r="E153" s="171" t="s">
        <v>225</v>
      </c>
      <c r="F153" s="38"/>
      <c r="G153" s="181" t="s">
        <v>475</v>
      </c>
      <c r="H153" s="38" t="s">
        <v>226</v>
      </c>
      <c r="I153" s="282"/>
      <c r="J153" s="282"/>
      <c r="K153" s="282"/>
      <c r="L153" s="31"/>
      <c r="M153" s="31"/>
      <c r="N153" s="410"/>
      <c r="O153" s="196"/>
      <c r="P153" s="412"/>
      <c r="Q153" s="194"/>
      <c r="R153" s="194"/>
    </row>
    <row r="154" spans="1:18" ht="20.100000000000001" hidden="1" customHeight="1" x14ac:dyDescent="0.25">
      <c r="A154" s="174"/>
      <c r="B154" s="174"/>
      <c r="C154" s="174"/>
      <c r="D154" s="174"/>
      <c r="E154" s="171"/>
      <c r="F154" s="38" t="s">
        <v>227</v>
      </c>
      <c r="G154" s="181" t="s">
        <v>475</v>
      </c>
      <c r="H154" s="38" t="s">
        <v>226</v>
      </c>
      <c r="I154" s="282"/>
      <c r="J154" s="282"/>
      <c r="K154" s="282"/>
      <c r="L154" s="31"/>
      <c r="M154" s="31"/>
      <c r="N154" s="410"/>
      <c r="O154" s="196"/>
      <c r="P154" s="412"/>
      <c r="Q154" s="194"/>
      <c r="R154" s="194"/>
    </row>
    <row r="155" spans="1:18" ht="20.100000000000001" hidden="1" customHeight="1" x14ac:dyDescent="0.25">
      <c r="A155" s="174"/>
      <c r="B155" s="174"/>
      <c r="C155" s="174"/>
      <c r="D155" s="174"/>
      <c r="E155" s="171" t="s">
        <v>228</v>
      </c>
      <c r="F155" s="38"/>
      <c r="G155" s="181" t="s">
        <v>475</v>
      </c>
      <c r="H155" s="38" t="s">
        <v>229</v>
      </c>
      <c r="I155" s="282"/>
      <c r="J155" s="282"/>
      <c r="K155" s="282"/>
      <c r="L155" s="31"/>
      <c r="M155" s="31"/>
      <c r="N155" s="410"/>
      <c r="O155" s="196"/>
      <c r="P155" s="412"/>
      <c r="Q155" s="194"/>
      <c r="R155" s="194"/>
    </row>
    <row r="156" spans="1:18" ht="20.100000000000001" hidden="1" customHeight="1" x14ac:dyDescent="0.25">
      <c r="A156" s="174"/>
      <c r="B156" s="174"/>
      <c r="C156" s="174"/>
      <c r="D156" s="174"/>
      <c r="E156" s="171"/>
      <c r="F156" s="38" t="s">
        <v>230</v>
      </c>
      <c r="G156" s="181" t="s">
        <v>475</v>
      </c>
      <c r="H156" s="38" t="s">
        <v>229</v>
      </c>
      <c r="I156" s="282"/>
      <c r="J156" s="282"/>
      <c r="K156" s="282"/>
      <c r="L156" s="31"/>
      <c r="M156" s="31"/>
      <c r="N156" s="410"/>
      <c r="O156" s="196"/>
    </row>
    <row r="157" spans="1:18" ht="20.100000000000001" hidden="1" customHeight="1" x14ac:dyDescent="0.25">
      <c r="A157" s="174"/>
      <c r="B157" s="174"/>
      <c r="C157" s="174"/>
      <c r="D157" s="174"/>
      <c r="E157" s="171" t="s">
        <v>231</v>
      </c>
      <c r="F157" s="38"/>
      <c r="G157" s="181" t="s">
        <v>475</v>
      </c>
      <c r="H157" s="38" t="s">
        <v>232</v>
      </c>
      <c r="I157" s="282">
        <f>I158+I159+I160+I161+I162</f>
        <v>0</v>
      </c>
      <c r="J157" s="282">
        <f>J158+J159+J160+J161+J162</f>
        <v>0</v>
      </c>
      <c r="K157" s="282">
        <f>K158+K159+K160+K161+K162</f>
        <v>0</v>
      </c>
      <c r="L157" s="31"/>
      <c r="M157" s="31"/>
      <c r="N157" s="410"/>
      <c r="O157" s="196"/>
      <c r="P157" s="68"/>
    </row>
    <row r="158" spans="1:18" ht="20.100000000000001" hidden="1" customHeight="1" x14ac:dyDescent="0.25">
      <c r="A158" s="174"/>
      <c r="B158" s="174"/>
      <c r="C158" s="174"/>
      <c r="D158" s="174"/>
      <c r="E158" s="171"/>
      <c r="F158" s="38" t="s">
        <v>233</v>
      </c>
      <c r="G158" s="181" t="s">
        <v>475</v>
      </c>
      <c r="H158" s="38" t="s">
        <v>234</v>
      </c>
      <c r="I158" s="282"/>
      <c r="J158" s="282"/>
      <c r="K158" s="282"/>
      <c r="L158" s="31"/>
      <c r="M158" s="31"/>
      <c r="N158" s="410"/>
      <c r="O158" s="196"/>
      <c r="P158" s="68"/>
    </row>
    <row r="159" spans="1:18" ht="20.100000000000001" hidden="1" customHeight="1" x14ac:dyDescent="0.25">
      <c r="A159" s="174"/>
      <c r="B159" s="174"/>
      <c r="C159" s="174"/>
      <c r="D159" s="174"/>
      <c r="E159" s="171"/>
      <c r="F159" s="38" t="s">
        <v>235</v>
      </c>
      <c r="G159" s="181" t="s">
        <v>475</v>
      </c>
      <c r="H159" s="38" t="s">
        <v>236</v>
      </c>
      <c r="I159" s="282"/>
      <c r="J159" s="282"/>
      <c r="K159" s="282"/>
      <c r="L159" s="31"/>
      <c r="M159" s="31"/>
      <c r="N159" s="410"/>
      <c r="O159" s="196"/>
      <c r="P159" s="68"/>
    </row>
    <row r="160" spans="1:18" ht="20.100000000000001" hidden="1" customHeight="1" x14ac:dyDescent="0.25">
      <c r="A160" s="174"/>
      <c r="B160" s="174"/>
      <c r="C160" s="174"/>
      <c r="D160" s="174"/>
      <c r="E160" s="171"/>
      <c r="F160" s="38" t="s">
        <v>237</v>
      </c>
      <c r="G160" s="181" t="s">
        <v>475</v>
      </c>
      <c r="H160" s="38" t="s">
        <v>238</v>
      </c>
      <c r="I160" s="282"/>
      <c r="J160" s="282"/>
      <c r="K160" s="282"/>
      <c r="L160" s="31"/>
      <c r="M160" s="31"/>
      <c r="N160" s="410"/>
      <c r="O160" s="196"/>
      <c r="P160" s="68"/>
    </row>
    <row r="161" spans="1:18" ht="20.100000000000001" hidden="1" customHeight="1" x14ac:dyDescent="0.25">
      <c r="A161" s="174"/>
      <c r="B161" s="174"/>
      <c r="C161" s="174"/>
      <c r="D161" s="174"/>
      <c r="E161" s="171"/>
      <c r="F161" s="38" t="s">
        <v>239</v>
      </c>
      <c r="G161" s="181" t="s">
        <v>475</v>
      </c>
      <c r="H161" s="38" t="s">
        <v>240</v>
      </c>
      <c r="I161" s="282"/>
      <c r="J161" s="282"/>
      <c r="K161" s="282"/>
      <c r="L161" s="31"/>
      <c r="M161" s="31"/>
      <c r="N161" s="410"/>
      <c r="O161" s="196"/>
      <c r="P161" s="68"/>
    </row>
    <row r="162" spans="1:18" ht="20.100000000000001" hidden="1" customHeight="1" x14ac:dyDescent="0.25">
      <c r="A162" s="174"/>
      <c r="B162" s="174"/>
      <c r="C162" s="174"/>
      <c r="D162" s="174"/>
      <c r="E162" s="171"/>
      <c r="F162" s="38" t="s">
        <v>241</v>
      </c>
      <c r="G162" s="181" t="s">
        <v>475</v>
      </c>
      <c r="H162" s="38" t="s">
        <v>242</v>
      </c>
      <c r="I162" s="282"/>
      <c r="J162" s="282"/>
      <c r="K162" s="282"/>
      <c r="L162" s="31"/>
      <c r="M162" s="31"/>
      <c r="N162" s="410"/>
      <c r="O162" s="196"/>
      <c r="P162" s="68"/>
    </row>
    <row r="163" spans="1:18" s="21" customFormat="1" ht="31.5" hidden="1" customHeight="1" x14ac:dyDescent="0.25">
      <c r="A163" s="172"/>
      <c r="B163" s="172"/>
      <c r="C163" s="172">
        <v>324</v>
      </c>
      <c r="D163" s="172"/>
      <c r="E163" s="172"/>
      <c r="F163" s="42"/>
      <c r="G163" s="181" t="s">
        <v>475</v>
      </c>
      <c r="H163" s="43" t="s">
        <v>43</v>
      </c>
      <c r="I163" s="281"/>
      <c r="J163" s="281"/>
      <c r="K163" s="281"/>
      <c r="L163" s="31"/>
      <c r="M163" s="31"/>
      <c r="N163" s="410"/>
      <c r="O163" s="196"/>
      <c r="P163" s="270"/>
      <c r="Q163" s="20"/>
      <c r="R163" s="20"/>
    </row>
    <row r="164" spans="1:18" ht="30" hidden="1" customHeight="1" x14ac:dyDescent="0.25">
      <c r="A164" s="174"/>
      <c r="B164" s="174"/>
      <c r="C164" s="174"/>
      <c r="D164" s="174">
        <v>3241</v>
      </c>
      <c r="E164" s="174"/>
      <c r="F164" s="44"/>
      <c r="G164" s="181" t="s">
        <v>475</v>
      </c>
      <c r="H164" s="38" t="s">
        <v>43</v>
      </c>
      <c r="I164" s="282"/>
      <c r="J164" s="282"/>
      <c r="K164" s="282"/>
      <c r="L164" s="31"/>
      <c r="M164" s="31"/>
      <c r="N164" s="410"/>
      <c r="O164" s="196"/>
    </row>
    <row r="165" spans="1:18" ht="20.100000000000001" hidden="1" customHeight="1" x14ac:dyDescent="0.25">
      <c r="A165" s="174"/>
      <c r="B165" s="174"/>
      <c r="C165" s="174"/>
      <c r="D165" s="174"/>
      <c r="E165" s="171" t="s">
        <v>243</v>
      </c>
      <c r="F165" s="38"/>
      <c r="G165" s="181" t="s">
        <v>475</v>
      </c>
      <c r="H165" s="38" t="s">
        <v>244</v>
      </c>
      <c r="I165" s="282"/>
      <c r="J165" s="282"/>
      <c r="K165" s="282"/>
      <c r="L165" s="31"/>
      <c r="M165" s="31"/>
      <c r="N165" s="410"/>
      <c r="O165" s="196"/>
    </row>
    <row r="166" spans="1:18" ht="33.75" hidden="1" customHeight="1" x14ac:dyDescent="0.25">
      <c r="A166" s="174"/>
      <c r="B166" s="174"/>
      <c r="C166" s="174"/>
      <c r="D166" s="174"/>
      <c r="E166" s="171"/>
      <c r="F166" s="38" t="s">
        <v>245</v>
      </c>
      <c r="G166" s="181" t="s">
        <v>475</v>
      </c>
      <c r="H166" s="38" t="s">
        <v>246</v>
      </c>
      <c r="I166" s="282"/>
      <c r="J166" s="282"/>
      <c r="K166" s="282"/>
      <c r="L166" s="31"/>
      <c r="M166" s="31"/>
      <c r="N166" s="410"/>
      <c r="O166" s="196"/>
    </row>
    <row r="167" spans="1:18" s="21" customFormat="1" ht="20.100000000000001" hidden="1" customHeight="1" x14ac:dyDescent="0.25">
      <c r="A167" s="172"/>
      <c r="B167" s="172"/>
      <c r="C167" s="172">
        <v>329</v>
      </c>
      <c r="D167" s="172"/>
      <c r="E167" s="173"/>
      <c r="F167" s="43"/>
      <c r="G167" s="181" t="s">
        <v>475</v>
      </c>
      <c r="H167" s="43" t="s">
        <v>45</v>
      </c>
      <c r="I167" s="281"/>
      <c r="J167" s="281"/>
      <c r="K167" s="281"/>
      <c r="L167" s="31"/>
      <c r="M167" s="31"/>
      <c r="N167" s="410"/>
      <c r="O167" s="196"/>
      <c r="P167" s="270"/>
      <c r="Q167" s="20"/>
      <c r="R167" s="20"/>
    </row>
    <row r="168" spans="1:18" ht="29.25" hidden="1" customHeight="1" x14ac:dyDescent="0.25">
      <c r="A168" s="174"/>
      <c r="B168" s="174"/>
      <c r="C168" s="174"/>
      <c r="D168" s="174">
        <v>3291</v>
      </c>
      <c r="E168" s="174"/>
      <c r="F168" s="44"/>
      <c r="G168" s="181" t="s">
        <v>475</v>
      </c>
      <c r="H168" s="38" t="s">
        <v>247</v>
      </c>
      <c r="I168" s="282"/>
      <c r="J168" s="282"/>
      <c r="K168" s="282"/>
      <c r="L168" s="31"/>
      <c r="M168" s="31"/>
      <c r="N168" s="410"/>
      <c r="O168" s="196"/>
    </row>
    <row r="169" spans="1:18" ht="30" hidden="1" customHeight="1" x14ac:dyDescent="0.25">
      <c r="A169" s="174"/>
      <c r="B169" s="174"/>
      <c r="C169" s="174"/>
      <c r="D169" s="174"/>
      <c r="E169" s="171" t="s">
        <v>248</v>
      </c>
      <c r="F169" s="38"/>
      <c r="G169" s="181" t="s">
        <v>475</v>
      </c>
      <c r="H169" s="38" t="s">
        <v>249</v>
      </c>
      <c r="I169" s="282"/>
      <c r="J169" s="282"/>
      <c r="K169" s="282"/>
      <c r="L169" s="31"/>
      <c r="M169" s="31"/>
      <c r="N169" s="410"/>
      <c r="O169" s="196"/>
    </row>
    <row r="170" spans="1:18" ht="30" hidden="1" customHeight="1" x14ac:dyDescent="0.25">
      <c r="A170" s="174"/>
      <c r="B170" s="174"/>
      <c r="C170" s="174"/>
      <c r="D170" s="174"/>
      <c r="E170" s="171"/>
      <c r="F170" s="38" t="s">
        <v>250</v>
      </c>
      <c r="G170" s="181" t="s">
        <v>475</v>
      </c>
      <c r="H170" s="38" t="s">
        <v>249</v>
      </c>
      <c r="I170" s="282"/>
      <c r="J170" s="282"/>
      <c r="K170" s="282"/>
      <c r="L170" s="31"/>
      <c r="M170" s="31"/>
      <c r="N170" s="410"/>
      <c r="O170" s="196"/>
    </row>
    <row r="171" spans="1:18" ht="20.100000000000001" hidden="1" customHeight="1" x14ac:dyDescent="0.25">
      <c r="A171" s="174"/>
      <c r="B171" s="174"/>
      <c r="C171" s="174"/>
      <c r="D171" s="174">
        <v>3292</v>
      </c>
      <c r="E171" s="174"/>
      <c r="F171" s="44"/>
      <c r="G171" s="181" t="s">
        <v>475</v>
      </c>
      <c r="H171" s="38" t="s">
        <v>47</v>
      </c>
      <c r="I171" s="282"/>
      <c r="J171" s="282"/>
      <c r="K171" s="282"/>
      <c r="L171" s="31"/>
      <c r="M171" s="31"/>
      <c r="N171" s="410"/>
      <c r="O171" s="196"/>
    </row>
    <row r="172" spans="1:18" ht="20.100000000000001" hidden="1" customHeight="1" x14ac:dyDescent="0.25">
      <c r="A172" s="174"/>
      <c r="B172" s="174"/>
      <c r="C172" s="174"/>
      <c r="D172" s="174"/>
      <c r="E172" s="171" t="s">
        <v>251</v>
      </c>
      <c r="F172" s="38"/>
      <c r="G172" s="181" t="s">
        <v>475</v>
      </c>
      <c r="H172" s="38" t="s">
        <v>252</v>
      </c>
      <c r="I172" s="282"/>
      <c r="J172" s="282"/>
      <c r="K172" s="282"/>
      <c r="L172" s="31"/>
      <c r="M172" s="31"/>
      <c r="N172" s="410"/>
      <c r="O172" s="196"/>
      <c r="P172" s="412"/>
      <c r="Q172" s="194"/>
      <c r="R172" s="194"/>
    </row>
    <row r="173" spans="1:18" ht="20.100000000000001" hidden="1" customHeight="1" x14ac:dyDescent="0.25">
      <c r="A173" s="174"/>
      <c r="B173" s="174"/>
      <c r="C173" s="174"/>
      <c r="D173" s="174"/>
      <c r="E173" s="171"/>
      <c r="F173" s="38" t="s">
        <v>253</v>
      </c>
      <c r="G173" s="181" t="s">
        <v>475</v>
      </c>
      <c r="H173" s="38" t="s">
        <v>252</v>
      </c>
      <c r="I173" s="282"/>
      <c r="J173" s="282"/>
      <c r="K173" s="282"/>
      <c r="L173" s="31"/>
      <c r="M173" s="31"/>
      <c r="N173" s="410"/>
      <c r="O173" s="196"/>
      <c r="P173" s="412"/>
      <c r="Q173" s="194"/>
      <c r="R173" s="194"/>
    </row>
    <row r="174" spans="1:18" ht="20.100000000000001" hidden="1" customHeight="1" x14ac:dyDescent="0.25">
      <c r="A174" s="174"/>
      <c r="B174" s="174"/>
      <c r="C174" s="174"/>
      <c r="D174" s="174"/>
      <c r="E174" s="171" t="s">
        <v>254</v>
      </c>
      <c r="F174" s="38"/>
      <c r="G174" s="181" t="s">
        <v>475</v>
      </c>
      <c r="H174" s="38" t="s">
        <v>255</v>
      </c>
      <c r="I174" s="282"/>
      <c r="J174" s="282"/>
      <c r="K174" s="282"/>
      <c r="L174" s="31"/>
      <c r="M174" s="31"/>
      <c r="N174" s="410"/>
      <c r="O174" s="196"/>
      <c r="P174" s="412"/>
      <c r="Q174" s="194"/>
      <c r="R174" s="194"/>
    </row>
    <row r="175" spans="1:18" ht="20.100000000000001" hidden="1" customHeight="1" x14ac:dyDescent="0.25">
      <c r="A175" s="174"/>
      <c r="B175" s="174"/>
      <c r="C175" s="174"/>
      <c r="D175" s="174"/>
      <c r="E175" s="171"/>
      <c r="F175" s="38" t="s">
        <v>256</v>
      </c>
      <c r="G175" s="181" t="s">
        <v>475</v>
      </c>
      <c r="H175" s="38" t="s">
        <v>255</v>
      </c>
      <c r="I175" s="282"/>
      <c r="J175" s="282"/>
      <c r="K175" s="282"/>
      <c r="L175" s="31"/>
      <c r="M175" s="31"/>
      <c r="N175" s="410"/>
      <c r="O175" s="196"/>
      <c r="P175" s="412"/>
      <c r="Q175" s="194"/>
      <c r="R175" s="194"/>
    </row>
    <row r="176" spans="1:18" ht="20.100000000000001" hidden="1" customHeight="1" x14ac:dyDescent="0.25">
      <c r="A176" s="174"/>
      <c r="B176" s="174"/>
      <c r="C176" s="174"/>
      <c r="D176" s="174">
        <v>3293</v>
      </c>
      <c r="E176" s="174"/>
      <c r="F176" s="44"/>
      <c r="G176" s="181" t="s">
        <v>475</v>
      </c>
      <c r="H176" s="38" t="s">
        <v>48</v>
      </c>
      <c r="I176" s="282"/>
      <c r="J176" s="282"/>
      <c r="K176" s="282"/>
      <c r="L176" s="31"/>
      <c r="M176" s="31"/>
      <c r="N176" s="410"/>
      <c r="O176" s="196"/>
      <c r="P176" s="412"/>
      <c r="Q176" s="194"/>
      <c r="R176" s="194"/>
    </row>
    <row r="177" spans="1:18" ht="20.100000000000001" hidden="1" customHeight="1" x14ac:dyDescent="0.25">
      <c r="A177" s="174"/>
      <c r="B177" s="174"/>
      <c r="C177" s="174"/>
      <c r="D177" s="174"/>
      <c r="E177" s="171" t="s">
        <v>257</v>
      </c>
      <c r="F177" s="38"/>
      <c r="G177" s="181" t="s">
        <v>475</v>
      </c>
      <c r="H177" s="38" t="s">
        <v>48</v>
      </c>
      <c r="I177" s="282"/>
      <c r="J177" s="282"/>
      <c r="K177" s="282"/>
      <c r="L177" s="31"/>
      <c r="M177" s="31"/>
      <c r="N177" s="410"/>
      <c r="O177" s="196"/>
      <c r="P177" s="412"/>
      <c r="Q177" s="194"/>
      <c r="R177" s="194"/>
    </row>
    <row r="178" spans="1:18" ht="20.100000000000001" hidden="1" customHeight="1" x14ac:dyDescent="0.25">
      <c r="A178" s="174"/>
      <c r="B178" s="174"/>
      <c r="C178" s="174"/>
      <c r="D178" s="174"/>
      <c r="E178" s="171"/>
      <c r="F178" s="38" t="s">
        <v>258</v>
      </c>
      <c r="G178" s="181" t="s">
        <v>475</v>
      </c>
      <c r="H178" s="38" t="s">
        <v>48</v>
      </c>
      <c r="I178" s="282"/>
      <c r="J178" s="282"/>
      <c r="K178" s="282"/>
      <c r="L178" s="31"/>
      <c r="M178" s="31"/>
      <c r="N178" s="410"/>
      <c r="O178" s="196"/>
      <c r="P178" s="412"/>
      <c r="Q178" s="194"/>
      <c r="R178" s="194"/>
    </row>
    <row r="179" spans="1:18" ht="20.100000000000001" hidden="1" customHeight="1" x14ac:dyDescent="0.25">
      <c r="A179" s="174"/>
      <c r="B179" s="174"/>
      <c r="C179" s="174"/>
      <c r="D179" s="174">
        <v>3294</v>
      </c>
      <c r="E179" s="174"/>
      <c r="F179" s="44"/>
      <c r="G179" s="181" t="s">
        <v>475</v>
      </c>
      <c r="H179" s="38" t="s">
        <v>49</v>
      </c>
      <c r="I179" s="282"/>
      <c r="J179" s="282"/>
      <c r="K179" s="282"/>
      <c r="L179" s="31"/>
      <c r="M179" s="31"/>
      <c r="N179" s="410"/>
      <c r="O179" s="196"/>
      <c r="P179" s="412"/>
      <c r="Q179" s="194"/>
      <c r="R179" s="194"/>
    </row>
    <row r="180" spans="1:18" ht="20.100000000000001" hidden="1" customHeight="1" x14ac:dyDescent="0.25">
      <c r="A180" s="174"/>
      <c r="B180" s="174"/>
      <c r="C180" s="174"/>
      <c r="D180" s="174"/>
      <c r="E180" s="171" t="s">
        <v>259</v>
      </c>
      <c r="F180" s="38"/>
      <c r="G180" s="181" t="s">
        <v>475</v>
      </c>
      <c r="H180" s="38" t="s">
        <v>260</v>
      </c>
      <c r="I180" s="282"/>
      <c r="J180" s="282"/>
      <c r="K180" s="282"/>
      <c r="L180" s="31"/>
      <c r="M180" s="31"/>
      <c r="N180" s="410"/>
      <c r="O180" s="196"/>
      <c r="P180" s="412"/>
      <c r="Q180" s="194"/>
      <c r="R180" s="194"/>
    </row>
    <row r="181" spans="1:18" ht="20.100000000000001" hidden="1" customHeight="1" x14ac:dyDescent="0.25">
      <c r="A181" s="174"/>
      <c r="B181" s="174"/>
      <c r="C181" s="174"/>
      <c r="D181" s="174"/>
      <c r="E181" s="171"/>
      <c r="F181" s="38" t="s">
        <v>261</v>
      </c>
      <c r="G181" s="181" t="s">
        <v>475</v>
      </c>
      <c r="H181" s="38" t="s">
        <v>260</v>
      </c>
      <c r="I181" s="282"/>
      <c r="J181" s="282"/>
      <c r="K181" s="282"/>
      <c r="L181" s="31"/>
      <c r="M181" s="31"/>
      <c r="N181" s="410"/>
      <c r="O181" s="196"/>
      <c r="P181" s="412"/>
      <c r="Q181" s="194"/>
      <c r="R181" s="194"/>
    </row>
    <row r="182" spans="1:18" ht="20.100000000000001" hidden="1" customHeight="1" x14ac:dyDescent="0.25">
      <c r="A182" s="174"/>
      <c r="B182" s="174"/>
      <c r="C182" s="174"/>
      <c r="D182" s="174">
        <v>3295</v>
      </c>
      <c r="E182" s="174"/>
      <c r="F182" s="44"/>
      <c r="G182" s="181" t="s">
        <v>475</v>
      </c>
      <c r="H182" s="38" t="s">
        <v>50</v>
      </c>
      <c r="I182" s="282"/>
      <c r="J182" s="282"/>
      <c r="K182" s="282"/>
      <c r="L182" s="31"/>
      <c r="M182" s="31"/>
      <c r="N182" s="410"/>
      <c r="O182" s="196"/>
      <c r="P182" s="412"/>
      <c r="Q182" s="194"/>
      <c r="R182" s="194"/>
    </row>
    <row r="183" spans="1:18" ht="20.100000000000001" hidden="1" customHeight="1" x14ac:dyDescent="0.25">
      <c r="A183" s="174"/>
      <c r="B183" s="174"/>
      <c r="C183" s="174"/>
      <c r="D183" s="174"/>
      <c r="E183" s="171" t="s">
        <v>262</v>
      </c>
      <c r="F183" s="38"/>
      <c r="G183" s="181" t="s">
        <v>475</v>
      </c>
      <c r="H183" s="38" t="s">
        <v>263</v>
      </c>
      <c r="I183" s="282"/>
      <c r="J183" s="282"/>
      <c r="K183" s="282"/>
      <c r="L183" s="31"/>
      <c r="M183" s="31"/>
      <c r="N183" s="410"/>
      <c r="O183" s="196"/>
      <c r="P183" s="412"/>
      <c r="Q183" s="194"/>
      <c r="R183" s="194"/>
    </row>
    <row r="184" spans="1:18" ht="20.100000000000001" hidden="1" customHeight="1" x14ac:dyDescent="0.25">
      <c r="A184" s="174"/>
      <c r="B184" s="174"/>
      <c r="C184" s="174"/>
      <c r="D184" s="174"/>
      <c r="E184" s="171"/>
      <c r="F184" s="38" t="s">
        <v>264</v>
      </c>
      <c r="G184" s="181" t="s">
        <v>475</v>
      </c>
      <c r="H184" s="38" t="s">
        <v>263</v>
      </c>
      <c r="I184" s="282"/>
      <c r="J184" s="282"/>
      <c r="K184" s="282"/>
      <c r="L184" s="31"/>
      <c r="M184" s="31"/>
      <c r="N184" s="410"/>
      <c r="O184" s="196"/>
      <c r="P184" s="412"/>
      <c r="Q184" s="194"/>
      <c r="R184" s="194"/>
    </row>
    <row r="185" spans="1:18" ht="20.100000000000001" hidden="1" customHeight="1" x14ac:dyDescent="0.25">
      <c r="A185" s="174"/>
      <c r="B185" s="174"/>
      <c r="C185" s="174"/>
      <c r="D185" s="174"/>
      <c r="E185" s="171" t="s">
        <v>265</v>
      </c>
      <c r="F185" s="38"/>
      <c r="G185" s="181" t="s">
        <v>475</v>
      </c>
      <c r="H185" s="38" t="s">
        <v>266</v>
      </c>
      <c r="I185" s="282"/>
      <c r="J185" s="282"/>
      <c r="K185" s="282"/>
      <c r="L185" s="31"/>
      <c r="M185" s="31"/>
      <c r="N185" s="410"/>
      <c r="O185" s="196"/>
      <c r="P185" s="412"/>
      <c r="Q185" s="194"/>
      <c r="R185" s="194"/>
    </row>
    <row r="186" spans="1:18" ht="20.100000000000001" hidden="1" customHeight="1" x14ac:dyDescent="0.25">
      <c r="A186" s="174"/>
      <c r="B186" s="174"/>
      <c r="C186" s="174"/>
      <c r="D186" s="174"/>
      <c r="E186" s="171"/>
      <c r="F186" s="38" t="s">
        <v>267</v>
      </c>
      <c r="G186" s="181" t="s">
        <v>475</v>
      </c>
      <c r="H186" s="38" t="s">
        <v>268</v>
      </c>
      <c r="I186" s="282"/>
      <c r="J186" s="282"/>
      <c r="K186" s="282"/>
      <c r="L186" s="31"/>
      <c r="M186" s="31"/>
      <c r="N186" s="410"/>
      <c r="O186" s="196"/>
      <c r="P186" s="412"/>
      <c r="Q186" s="194"/>
      <c r="R186" s="194"/>
    </row>
    <row r="187" spans="1:18" ht="20.100000000000001" hidden="1" customHeight="1" x14ac:dyDescent="0.25">
      <c r="A187" s="174"/>
      <c r="B187" s="174"/>
      <c r="C187" s="174"/>
      <c r="D187" s="174"/>
      <c r="E187" s="171"/>
      <c r="F187" s="38" t="s">
        <v>269</v>
      </c>
      <c r="G187" s="181" t="s">
        <v>475</v>
      </c>
      <c r="H187" s="38" t="s">
        <v>270</v>
      </c>
      <c r="I187" s="282"/>
      <c r="J187" s="282"/>
      <c r="K187" s="282"/>
      <c r="L187" s="31"/>
      <c r="M187" s="31"/>
      <c r="N187" s="410"/>
      <c r="O187" s="196"/>
      <c r="P187" s="412"/>
      <c r="Q187" s="194"/>
      <c r="R187" s="194"/>
    </row>
    <row r="188" spans="1:18" ht="20.100000000000001" hidden="1" customHeight="1" x14ac:dyDescent="0.25">
      <c r="A188" s="174"/>
      <c r="B188" s="174"/>
      <c r="C188" s="174"/>
      <c r="D188" s="174">
        <v>3296</v>
      </c>
      <c r="E188" s="174"/>
      <c r="F188" s="44"/>
      <c r="G188" s="181" t="s">
        <v>475</v>
      </c>
      <c r="H188" s="38" t="s">
        <v>271</v>
      </c>
      <c r="I188" s="282"/>
      <c r="J188" s="282"/>
      <c r="K188" s="282"/>
      <c r="L188" s="31"/>
      <c r="M188" s="31"/>
      <c r="N188" s="410"/>
      <c r="O188" s="196"/>
    </row>
    <row r="189" spans="1:18" ht="20.100000000000001" hidden="1" customHeight="1" x14ac:dyDescent="0.25">
      <c r="A189" s="174"/>
      <c r="B189" s="174"/>
      <c r="C189" s="174"/>
      <c r="D189" s="174">
        <v>3299</v>
      </c>
      <c r="E189" s="174"/>
      <c r="F189" s="44"/>
      <c r="G189" s="181" t="s">
        <v>475</v>
      </c>
      <c r="H189" s="38" t="s">
        <v>45</v>
      </c>
      <c r="I189" s="282"/>
      <c r="J189" s="282"/>
      <c r="K189" s="282"/>
      <c r="L189" s="31"/>
      <c r="M189" s="31"/>
      <c r="N189" s="410"/>
      <c r="O189" s="196"/>
    </row>
    <row r="190" spans="1:18" ht="20.100000000000001" hidden="1" customHeight="1" x14ac:dyDescent="0.25">
      <c r="A190" s="174"/>
      <c r="B190" s="174"/>
      <c r="C190" s="174"/>
      <c r="D190" s="174"/>
      <c r="E190" s="171" t="s">
        <v>272</v>
      </c>
      <c r="F190" s="38"/>
      <c r="G190" s="181" t="s">
        <v>475</v>
      </c>
      <c r="H190" s="38" t="s">
        <v>273</v>
      </c>
      <c r="I190" s="282"/>
      <c r="J190" s="282"/>
      <c r="K190" s="282"/>
      <c r="L190" s="31"/>
      <c r="M190" s="31"/>
      <c r="N190" s="410"/>
      <c r="O190" s="196"/>
    </row>
    <row r="191" spans="1:18" ht="20.100000000000001" hidden="1" customHeight="1" x14ac:dyDescent="0.25">
      <c r="A191" s="174"/>
      <c r="B191" s="174"/>
      <c r="C191" s="174"/>
      <c r="D191" s="174"/>
      <c r="E191" s="171" t="s">
        <v>274</v>
      </c>
      <c r="F191" s="38"/>
      <c r="G191" s="181" t="s">
        <v>475</v>
      </c>
      <c r="H191" s="38" t="s">
        <v>45</v>
      </c>
      <c r="I191" s="282"/>
      <c r="J191" s="282"/>
      <c r="K191" s="282"/>
      <c r="L191" s="31"/>
      <c r="M191" s="31"/>
      <c r="N191" s="410"/>
      <c r="O191" s="196"/>
    </row>
    <row r="192" spans="1:18" ht="20.100000000000001" hidden="1" customHeight="1" x14ac:dyDescent="0.25">
      <c r="A192" s="174"/>
      <c r="B192" s="174"/>
      <c r="C192" s="174"/>
      <c r="D192" s="174"/>
      <c r="E192" s="171"/>
      <c r="F192" s="38" t="s">
        <v>275</v>
      </c>
      <c r="G192" s="181" t="s">
        <v>475</v>
      </c>
      <c r="H192" s="38" t="s">
        <v>45</v>
      </c>
      <c r="I192" s="282"/>
      <c r="J192" s="282"/>
      <c r="K192" s="282"/>
      <c r="L192" s="31"/>
      <c r="M192" s="31"/>
      <c r="N192" s="410"/>
      <c r="O192" s="196"/>
    </row>
    <row r="193" spans="1:18" s="21" customFormat="1" ht="20.100000000000001" hidden="1" customHeight="1" x14ac:dyDescent="0.25">
      <c r="A193" s="172"/>
      <c r="B193" s="172">
        <v>34</v>
      </c>
      <c r="C193" s="172"/>
      <c r="D193" s="172"/>
      <c r="E193" s="172"/>
      <c r="F193" s="42"/>
      <c r="G193" s="181" t="s">
        <v>475</v>
      </c>
      <c r="H193" s="43" t="s">
        <v>51</v>
      </c>
      <c r="I193" s="282"/>
      <c r="J193" s="282"/>
      <c r="K193" s="282"/>
      <c r="L193" s="31"/>
      <c r="M193" s="31"/>
      <c r="N193" s="410"/>
      <c r="O193" s="196"/>
      <c r="P193" s="270"/>
      <c r="Q193" s="20"/>
      <c r="R193" s="20"/>
    </row>
    <row r="194" spans="1:18" s="21" customFormat="1" ht="20.100000000000001" hidden="1" customHeight="1" x14ac:dyDescent="0.25">
      <c r="A194" s="172"/>
      <c r="B194" s="172"/>
      <c r="C194" s="172">
        <v>343</v>
      </c>
      <c r="D194" s="172"/>
      <c r="E194" s="172"/>
      <c r="F194" s="42"/>
      <c r="G194" s="181" t="s">
        <v>475</v>
      </c>
      <c r="H194" s="43" t="s">
        <v>52</v>
      </c>
      <c r="I194" s="281"/>
      <c r="J194" s="281"/>
      <c r="K194" s="281"/>
      <c r="L194" s="31"/>
      <c r="M194" s="31"/>
      <c r="N194" s="410"/>
      <c r="O194" s="196"/>
      <c r="P194" s="270"/>
      <c r="Q194" s="20"/>
      <c r="R194" s="20"/>
    </row>
    <row r="195" spans="1:18" ht="20.100000000000001" hidden="1" customHeight="1" x14ac:dyDescent="0.25">
      <c r="A195" s="174"/>
      <c r="B195" s="174"/>
      <c r="C195" s="174"/>
      <c r="D195" s="174">
        <v>3431</v>
      </c>
      <c r="E195" s="174"/>
      <c r="F195" s="44"/>
      <c r="G195" s="181" t="s">
        <v>475</v>
      </c>
      <c r="H195" s="38" t="s">
        <v>53</v>
      </c>
      <c r="I195" s="282"/>
      <c r="J195" s="282"/>
      <c r="K195" s="282"/>
      <c r="L195" s="31"/>
      <c r="M195" s="31"/>
      <c r="N195" s="410"/>
      <c r="O195" s="196"/>
    </row>
    <row r="196" spans="1:18" ht="20.100000000000001" hidden="1" customHeight="1" x14ac:dyDescent="0.25">
      <c r="A196" s="174"/>
      <c r="B196" s="174"/>
      <c r="C196" s="174"/>
      <c r="D196" s="174"/>
      <c r="E196" s="171" t="s">
        <v>276</v>
      </c>
      <c r="F196" s="38"/>
      <c r="G196" s="181" t="s">
        <v>475</v>
      </c>
      <c r="H196" s="38" t="s">
        <v>277</v>
      </c>
      <c r="I196" s="282"/>
      <c r="J196" s="282"/>
      <c r="K196" s="282"/>
      <c r="L196" s="31"/>
      <c r="M196" s="31"/>
      <c r="N196" s="410"/>
      <c r="O196" s="196"/>
    </row>
    <row r="197" spans="1:18" ht="20.100000000000001" hidden="1" customHeight="1" x14ac:dyDescent="0.25">
      <c r="A197" s="174"/>
      <c r="B197" s="174"/>
      <c r="C197" s="174"/>
      <c r="D197" s="174"/>
      <c r="E197" s="171"/>
      <c r="F197" s="38" t="s">
        <v>278</v>
      </c>
      <c r="G197" s="181" t="s">
        <v>475</v>
      </c>
      <c r="H197" s="38" t="s">
        <v>277</v>
      </c>
      <c r="I197" s="282"/>
      <c r="J197" s="282"/>
      <c r="K197" s="282"/>
      <c r="L197" s="31"/>
      <c r="M197" s="31"/>
      <c r="N197" s="410"/>
      <c r="O197" s="196"/>
    </row>
    <row r="198" spans="1:18" ht="20.100000000000001" hidden="1" customHeight="1" x14ac:dyDescent="0.25">
      <c r="A198" s="174"/>
      <c r="B198" s="174"/>
      <c r="C198" s="174"/>
      <c r="D198" s="174"/>
      <c r="E198" s="171" t="s">
        <v>279</v>
      </c>
      <c r="F198" s="38"/>
      <c r="G198" s="181" t="s">
        <v>475</v>
      </c>
      <c r="H198" s="38" t="s">
        <v>280</v>
      </c>
      <c r="I198" s="282"/>
      <c r="J198" s="282"/>
      <c r="K198" s="282"/>
      <c r="L198" s="31"/>
      <c r="M198" s="31"/>
      <c r="N198" s="410"/>
      <c r="O198" s="196"/>
    </row>
    <row r="199" spans="1:18" ht="20.100000000000001" hidden="1" customHeight="1" x14ac:dyDescent="0.25">
      <c r="A199" s="174"/>
      <c r="B199" s="174"/>
      <c r="C199" s="174"/>
      <c r="D199" s="174"/>
      <c r="E199" s="171"/>
      <c r="F199" s="38" t="s">
        <v>281</v>
      </c>
      <c r="G199" s="181" t="s">
        <v>475</v>
      </c>
      <c r="H199" s="38" t="s">
        <v>280</v>
      </c>
      <c r="I199" s="282"/>
      <c r="J199" s="282"/>
      <c r="K199" s="282"/>
      <c r="L199" s="31"/>
      <c r="M199" s="31"/>
      <c r="N199" s="410"/>
      <c r="O199" s="196"/>
    </row>
    <row r="200" spans="1:18" ht="20.100000000000001" hidden="1" customHeight="1" x14ac:dyDescent="0.25">
      <c r="A200" s="174"/>
      <c r="B200" s="174"/>
      <c r="C200" s="174"/>
      <c r="D200" s="174">
        <v>3433</v>
      </c>
      <c r="E200" s="171"/>
      <c r="F200" s="38"/>
      <c r="G200" s="181" t="s">
        <v>475</v>
      </c>
      <c r="H200" s="38" t="s">
        <v>54</v>
      </c>
      <c r="I200" s="282"/>
      <c r="J200" s="282"/>
      <c r="K200" s="282"/>
      <c r="L200" s="31"/>
      <c r="M200" s="31"/>
      <c r="N200" s="410"/>
      <c r="O200" s="196"/>
    </row>
    <row r="201" spans="1:18" ht="20.100000000000001" hidden="1" customHeight="1" x14ac:dyDescent="0.25">
      <c r="A201" s="174"/>
      <c r="B201" s="174"/>
      <c r="C201" s="174"/>
      <c r="D201" s="174"/>
      <c r="E201" s="171" t="s">
        <v>282</v>
      </c>
      <c r="F201" s="38"/>
      <c r="G201" s="181" t="s">
        <v>475</v>
      </c>
      <c r="H201" s="38" t="s">
        <v>54</v>
      </c>
      <c r="I201" s="282"/>
      <c r="J201" s="282"/>
      <c r="K201" s="282"/>
      <c r="L201" s="31"/>
      <c r="M201" s="31"/>
      <c r="N201" s="410"/>
      <c r="O201" s="196"/>
    </row>
    <row r="202" spans="1:18" ht="20.100000000000001" hidden="1" customHeight="1" x14ac:dyDescent="0.25">
      <c r="A202" s="174"/>
      <c r="B202" s="174"/>
      <c r="C202" s="174"/>
      <c r="D202" s="174"/>
      <c r="E202" s="171"/>
      <c r="F202" s="38" t="s">
        <v>283</v>
      </c>
      <c r="G202" s="181" t="s">
        <v>475</v>
      </c>
      <c r="H202" s="38" t="s">
        <v>54</v>
      </c>
      <c r="I202" s="282"/>
      <c r="J202" s="282"/>
      <c r="K202" s="282"/>
      <c r="L202" s="31"/>
      <c r="M202" s="31"/>
      <c r="N202" s="410"/>
      <c r="O202" s="196"/>
    </row>
    <row r="203" spans="1:18" ht="25.5" hidden="1" x14ac:dyDescent="0.25">
      <c r="A203" s="174"/>
      <c r="B203" s="172">
        <v>36</v>
      </c>
      <c r="C203" s="172"/>
      <c r="D203" s="229"/>
      <c r="E203" s="260"/>
      <c r="F203" s="260"/>
      <c r="G203" s="181" t="s">
        <v>448</v>
      </c>
      <c r="H203" s="43" t="s">
        <v>486</v>
      </c>
      <c r="I203" s="281">
        <v>0</v>
      </c>
      <c r="J203" s="281">
        <f t="shared" ref="I203:K205" si="27">J204</f>
        <v>0</v>
      </c>
      <c r="K203" s="281">
        <v>0</v>
      </c>
      <c r="L203" s="31"/>
      <c r="M203" s="31"/>
      <c r="N203" s="410"/>
      <c r="O203" s="196"/>
    </row>
    <row r="204" spans="1:18" ht="25.5" hidden="1" x14ac:dyDescent="0.25">
      <c r="A204" s="174"/>
      <c r="B204" s="172"/>
      <c r="C204" s="172">
        <v>369</v>
      </c>
      <c r="D204" s="229"/>
      <c r="E204" s="260"/>
      <c r="F204" s="260"/>
      <c r="G204" s="181" t="s">
        <v>448</v>
      </c>
      <c r="H204" s="43" t="s">
        <v>487</v>
      </c>
      <c r="I204" s="281">
        <f t="shared" si="27"/>
        <v>2660</v>
      </c>
      <c r="J204" s="281">
        <f t="shared" si="27"/>
        <v>0</v>
      </c>
      <c r="K204" s="281">
        <f t="shared" si="27"/>
        <v>2660</v>
      </c>
      <c r="L204" s="31"/>
      <c r="M204" s="31"/>
      <c r="N204" s="410"/>
      <c r="O204" s="196"/>
    </row>
    <row r="205" spans="1:18" ht="25.5" hidden="1" x14ac:dyDescent="0.25">
      <c r="A205" s="174"/>
      <c r="B205" s="252"/>
      <c r="C205" s="369"/>
      <c r="D205" s="174">
        <v>3691</v>
      </c>
      <c r="E205" s="174"/>
      <c r="F205" s="174"/>
      <c r="G205" s="181" t="s">
        <v>448</v>
      </c>
      <c r="H205" s="38" t="s">
        <v>488</v>
      </c>
      <c r="I205" s="282">
        <f t="shared" si="27"/>
        <v>2660</v>
      </c>
      <c r="J205" s="282">
        <f t="shared" si="27"/>
        <v>0</v>
      </c>
      <c r="K205" s="282">
        <f t="shared" si="27"/>
        <v>2660</v>
      </c>
      <c r="L205" s="31"/>
      <c r="M205" s="31"/>
      <c r="N205" s="410"/>
      <c r="O205" s="196"/>
    </row>
    <row r="206" spans="1:18" ht="25.5" hidden="1" x14ac:dyDescent="0.25">
      <c r="A206" s="174"/>
      <c r="B206" s="252"/>
      <c r="C206" s="369"/>
      <c r="D206" s="174"/>
      <c r="E206" s="174" t="s">
        <v>489</v>
      </c>
      <c r="F206" s="174"/>
      <c r="G206" s="181" t="s">
        <v>448</v>
      </c>
      <c r="H206" s="38" t="s">
        <v>488</v>
      </c>
      <c r="I206" s="282">
        <f t="shared" ref="I206:K206" si="28">I207+I208</f>
        <v>2660</v>
      </c>
      <c r="J206" s="282">
        <f t="shared" si="28"/>
        <v>0</v>
      </c>
      <c r="K206" s="282">
        <f t="shared" si="28"/>
        <v>2660</v>
      </c>
      <c r="L206" s="31"/>
      <c r="M206" s="31"/>
      <c r="N206" s="410"/>
      <c r="O206" s="196"/>
    </row>
    <row r="207" spans="1:18" ht="25.5" hidden="1" x14ac:dyDescent="0.25">
      <c r="A207" s="174"/>
      <c r="B207" s="252"/>
      <c r="C207" s="369"/>
      <c r="D207" s="174"/>
      <c r="E207" s="174"/>
      <c r="F207" s="174" t="s">
        <v>490</v>
      </c>
      <c r="G207" s="181" t="s">
        <v>448</v>
      </c>
      <c r="H207" s="38" t="s">
        <v>491</v>
      </c>
      <c r="I207" s="282">
        <v>1360</v>
      </c>
      <c r="J207" s="282">
        <f>K207-I207</f>
        <v>0</v>
      </c>
      <c r="K207" s="282">
        <v>1360</v>
      </c>
      <c r="L207" s="31"/>
      <c r="M207" s="31"/>
      <c r="N207" s="410"/>
      <c r="O207" s="196"/>
    </row>
    <row r="208" spans="1:18" ht="25.5" hidden="1" x14ac:dyDescent="0.25">
      <c r="A208" s="174"/>
      <c r="B208" s="174"/>
      <c r="C208" s="174"/>
      <c r="D208" s="174"/>
      <c r="E208" s="171"/>
      <c r="F208" s="174" t="s">
        <v>493</v>
      </c>
      <c r="G208" s="181" t="s">
        <v>448</v>
      </c>
      <c r="H208" s="38" t="s">
        <v>500</v>
      </c>
      <c r="I208" s="282">
        <v>1300</v>
      </c>
      <c r="J208" s="282">
        <f>K208-I208</f>
        <v>0</v>
      </c>
      <c r="K208" s="282">
        <v>1300</v>
      </c>
      <c r="L208" s="31"/>
      <c r="M208" s="31"/>
      <c r="N208" s="410"/>
      <c r="O208" s="196"/>
    </row>
    <row r="209" spans="1:18" s="21" customFormat="1" ht="28.5" hidden="1" customHeight="1" x14ac:dyDescent="0.25">
      <c r="A209" s="172"/>
      <c r="B209" s="172">
        <v>37</v>
      </c>
      <c r="C209" s="172"/>
      <c r="D209" s="172"/>
      <c r="E209" s="172"/>
      <c r="F209" s="42"/>
      <c r="G209" s="181" t="s">
        <v>475</v>
      </c>
      <c r="H209" s="43" t="s">
        <v>55</v>
      </c>
      <c r="I209" s="281"/>
      <c r="J209" s="281"/>
      <c r="K209" s="281"/>
      <c r="L209" s="31"/>
      <c r="M209" s="31"/>
      <c r="N209" s="410"/>
      <c r="O209" s="196"/>
      <c r="P209" s="270"/>
      <c r="Q209" s="20"/>
      <c r="R209" s="20"/>
    </row>
    <row r="210" spans="1:18" s="21" customFormat="1" ht="28.5" hidden="1" customHeight="1" x14ac:dyDescent="0.25">
      <c r="A210" s="172"/>
      <c r="B210" s="172"/>
      <c r="C210" s="172">
        <v>372</v>
      </c>
      <c r="D210" s="172"/>
      <c r="E210" s="172"/>
      <c r="F210" s="42"/>
      <c r="G210" s="181" t="s">
        <v>475</v>
      </c>
      <c r="H210" s="43" t="s">
        <v>56</v>
      </c>
      <c r="I210" s="281"/>
      <c r="J210" s="281"/>
      <c r="K210" s="281"/>
      <c r="L210" s="31"/>
      <c r="M210" s="31"/>
      <c r="N210" s="410"/>
      <c r="O210" s="196"/>
      <c r="P210" s="270"/>
      <c r="Q210" s="20"/>
      <c r="R210" s="20"/>
    </row>
    <row r="211" spans="1:18" ht="20.100000000000001" hidden="1" customHeight="1" x14ac:dyDescent="0.25">
      <c r="A211" s="174"/>
      <c r="B211" s="174"/>
      <c r="C211" s="174"/>
      <c r="D211" s="174">
        <v>3721</v>
      </c>
      <c r="E211" s="174"/>
      <c r="F211" s="44"/>
      <c r="G211" s="181" t="s">
        <v>475</v>
      </c>
      <c r="H211" s="38" t="s">
        <v>284</v>
      </c>
      <c r="I211" s="282"/>
      <c r="J211" s="282"/>
      <c r="K211" s="282"/>
      <c r="L211" s="31"/>
      <c r="M211" s="31"/>
      <c r="N211" s="410"/>
      <c r="O211" s="196"/>
    </row>
    <row r="212" spans="1:18" ht="20.100000000000001" hidden="1" customHeight="1" x14ac:dyDescent="0.25">
      <c r="A212" s="174"/>
      <c r="B212" s="174"/>
      <c r="C212" s="174"/>
      <c r="D212" s="174"/>
      <c r="E212" s="171" t="s">
        <v>285</v>
      </c>
      <c r="F212" s="38"/>
      <c r="G212" s="181" t="s">
        <v>475</v>
      </c>
      <c r="H212" s="38" t="s">
        <v>286</v>
      </c>
      <c r="I212" s="282"/>
      <c r="J212" s="282"/>
      <c r="K212" s="282"/>
      <c r="L212" s="31"/>
      <c r="M212" s="31"/>
      <c r="N212" s="410"/>
      <c r="O212" s="196"/>
    </row>
    <row r="213" spans="1:18" ht="20.100000000000001" hidden="1" customHeight="1" x14ac:dyDescent="0.25">
      <c r="A213" s="174"/>
      <c r="B213" s="174"/>
      <c r="C213" s="174"/>
      <c r="D213" s="174"/>
      <c r="E213" s="171"/>
      <c r="F213" s="38" t="s">
        <v>287</v>
      </c>
      <c r="G213" s="181" t="s">
        <v>475</v>
      </c>
      <c r="H213" s="38" t="s">
        <v>286</v>
      </c>
      <c r="I213" s="282"/>
      <c r="J213" s="282"/>
      <c r="K213" s="282"/>
      <c r="L213" s="31"/>
      <c r="M213" s="31"/>
      <c r="N213" s="410"/>
      <c r="O213" s="196"/>
    </row>
    <row r="214" spans="1:18" ht="20.100000000000001" hidden="1" customHeight="1" x14ac:dyDescent="0.25">
      <c r="A214" s="174"/>
      <c r="B214" s="172">
        <v>38</v>
      </c>
      <c r="C214" s="174"/>
      <c r="D214" s="174"/>
      <c r="E214" s="171"/>
      <c r="F214" s="38"/>
      <c r="G214" s="181" t="s">
        <v>475</v>
      </c>
      <c r="H214" s="43" t="s">
        <v>57</v>
      </c>
      <c r="I214" s="281"/>
      <c r="J214" s="281"/>
      <c r="K214" s="281"/>
      <c r="L214" s="31"/>
      <c r="M214" s="31"/>
      <c r="N214" s="410"/>
      <c r="O214" s="196"/>
    </row>
    <row r="215" spans="1:18" s="21" customFormat="1" ht="20.100000000000001" hidden="1" customHeight="1" x14ac:dyDescent="0.25">
      <c r="A215" s="172"/>
      <c r="B215" s="172"/>
      <c r="C215" s="172">
        <v>381</v>
      </c>
      <c r="D215" s="172"/>
      <c r="E215" s="173"/>
      <c r="F215" s="43"/>
      <c r="G215" s="181" t="s">
        <v>475</v>
      </c>
      <c r="H215" s="43" t="s">
        <v>58</v>
      </c>
      <c r="I215" s="281"/>
      <c r="J215" s="281"/>
      <c r="K215" s="281"/>
      <c r="L215" s="31"/>
      <c r="M215" s="31"/>
      <c r="N215" s="410"/>
      <c r="O215" s="196"/>
      <c r="P215" s="270"/>
      <c r="Q215" s="20"/>
      <c r="R215" s="20"/>
    </row>
    <row r="216" spans="1:18" ht="28.5" hidden="1" customHeight="1" x14ac:dyDescent="0.25">
      <c r="A216" s="174"/>
      <c r="B216" s="174"/>
      <c r="C216" s="174"/>
      <c r="D216" s="174">
        <v>3811</v>
      </c>
      <c r="E216" s="171"/>
      <c r="F216" s="38"/>
      <c r="G216" s="181" t="s">
        <v>475</v>
      </c>
      <c r="H216" s="38" t="s">
        <v>57</v>
      </c>
      <c r="I216" s="282"/>
      <c r="J216" s="282"/>
      <c r="K216" s="282"/>
      <c r="L216" s="31"/>
      <c r="M216" s="31"/>
      <c r="N216" s="410"/>
      <c r="O216" s="196"/>
    </row>
    <row r="217" spans="1:18" ht="28.5" customHeight="1" x14ac:dyDescent="0.25">
      <c r="A217" s="253"/>
      <c r="B217" s="253"/>
      <c r="C217" s="253"/>
      <c r="D217" s="253"/>
      <c r="E217" s="253"/>
      <c r="F217" s="253"/>
      <c r="G217" s="253"/>
      <c r="H217" s="254" t="s">
        <v>534</v>
      </c>
      <c r="I217" s="441"/>
      <c r="J217" s="441"/>
      <c r="K217" s="441"/>
      <c r="L217" s="31"/>
      <c r="M217" s="31"/>
      <c r="N217" s="410"/>
      <c r="O217" s="196"/>
    </row>
    <row r="218" spans="1:18" ht="28.5" customHeight="1" x14ac:dyDescent="0.25">
      <c r="A218" s="345"/>
      <c r="B218" s="345"/>
      <c r="C218" s="345"/>
      <c r="D218" s="345"/>
      <c r="E218" s="345"/>
      <c r="F218" s="345"/>
      <c r="G218" s="345"/>
      <c r="H218" s="349" t="s">
        <v>476</v>
      </c>
      <c r="I218" s="363"/>
      <c r="J218" s="363"/>
      <c r="K218" s="363"/>
      <c r="L218" s="31"/>
      <c r="M218" s="31"/>
      <c r="N218" s="410"/>
      <c r="O218" s="196"/>
    </row>
    <row r="219" spans="1:18" ht="28.5" customHeight="1" x14ac:dyDescent="0.25">
      <c r="A219" s="172">
        <v>4</v>
      </c>
      <c r="B219" s="174"/>
      <c r="C219" s="174"/>
      <c r="D219" s="174"/>
      <c r="E219" s="171"/>
      <c r="F219" s="38"/>
      <c r="G219" s="181"/>
      <c r="H219" s="43" t="s">
        <v>324</v>
      </c>
      <c r="I219" s="281">
        <f t="shared" ref="I219:K219" si="29">I225+I220</f>
        <v>336500</v>
      </c>
      <c r="J219" s="281">
        <f t="shared" si="29"/>
        <v>-336500</v>
      </c>
      <c r="K219" s="281">
        <f t="shared" si="29"/>
        <v>0</v>
      </c>
      <c r="L219" s="31"/>
      <c r="M219" s="31"/>
      <c r="N219" s="410"/>
      <c r="O219" s="196"/>
    </row>
    <row r="220" spans="1:18" ht="28.5" hidden="1" customHeight="1" x14ac:dyDescent="0.25">
      <c r="A220" s="172"/>
      <c r="B220" s="172">
        <v>41</v>
      </c>
      <c r="C220" s="174"/>
      <c r="D220" s="174"/>
      <c r="E220" s="171"/>
      <c r="F220" s="38"/>
      <c r="G220" s="181"/>
      <c r="H220" s="43" t="s">
        <v>60</v>
      </c>
      <c r="I220" s="281">
        <f t="shared" ref="I220:K223" si="30">I221</f>
        <v>0</v>
      </c>
      <c r="J220" s="281">
        <f t="shared" si="30"/>
        <v>0</v>
      </c>
      <c r="K220" s="281">
        <f t="shared" si="30"/>
        <v>0</v>
      </c>
      <c r="L220" s="31"/>
      <c r="M220" s="31"/>
      <c r="N220" s="410"/>
      <c r="O220" s="196"/>
    </row>
    <row r="221" spans="1:18" ht="28.5" hidden="1" customHeight="1" x14ac:dyDescent="0.25">
      <c r="A221" s="172"/>
      <c r="B221" s="174"/>
      <c r="C221" s="172">
        <v>412</v>
      </c>
      <c r="D221" s="174"/>
      <c r="E221" s="171"/>
      <c r="F221" s="38"/>
      <c r="G221" s="181"/>
      <c r="H221" s="43" t="s">
        <v>325</v>
      </c>
      <c r="I221" s="281">
        <f t="shared" si="30"/>
        <v>0</v>
      </c>
      <c r="J221" s="281">
        <f t="shared" si="30"/>
        <v>0</v>
      </c>
      <c r="K221" s="281">
        <f t="shared" si="30"/>
        <v>0</v>
      </c>
      <c r="L221" s="31"/>
      <c r="M221" s="31"/>
      <c r="N221" s="410"/>
      <c r="O221" s="196"/>
    </row>
    <row r="222" spans="1:18" ht="20.100000000000001" hidden="1" customHeight="1" x14ac:dyDescent="0.25">
      <c r="A222" s="172"/>
      <c r="B222" s="174"/>
      <c r="C222" s="174"/>
      <c r="D222" s="174">
        <v>4123</v>
      </c>
      <c r="E222" s="174"/>
      <c r="F222" s="174"/>
      <c r="G222" s="181" t="s">
        <v>475</v>
      </c>
      <c r="H222" s="38" t="s">
        <v>62</v>
      </c>
      <c r="I222" s="281">
        <f t="shared" si="30"/>
        <v>0</v>
      </c>
      <c r="J222" s="281">
        <f t="shared" si="30"/>
        <v>0</v>
      </c>
      <c r="K222" s="281">
        <f t="shared" si="30"/>
        <v>0</v>
      </c>
      <c r="L222" s="31"/>
      <c r="M222" s="31"/>
      <c r="N222" s="410"/>
      <c r="O222" s="196"/>
    </row>
    <row r="223" spans="1:18" ht="20.100000000000001" hidden="1" customHeight="1" x14ac:dyDescent="0.25">
      <c r="A223" s="172"/>
      <c r="B223" s="174"/>
      <c r="C223" s="174"/>
      <c r="D223" s="174"/>
      <c r="E223" s="174" t="s">
        <v>326</v>
      </c>
      <c r="F223" s="174"/>
      <c r="G223" s="181" t="s">
        <v>475</v>
      </c>
      <c r="H223" s="38" t="s">
        <v>62</v>
      </c>
      <c r="I223" s="281">
        <f t="shared" si="30"/>
        <v>0</v>
      </c>
      <c r="J223" s="281">
        <f t="shared" si="30"/>
        <v>0</v>
      </c>
      <c r="K223" s="281">
        <f t="shared" si="30"/>
        <v>0</v>
      </c>
      <c r="L223" s="31"/>
      <c r="M223" s="31"/>
      <c r="N223" s="410"/>
      <c r="O223" s="196"/>
    </row>
    <row r="224" spans="1:18" ht="20.100000000000001" hidden="1" customHeight="1" x14ac:dyDescent="0.25">
      <c r="A224" s="172"/>
      <c r="B224" s="174"/>
      <c r="C224" s="174"/>
      <c r="D224" s="174"/>
      <c r="E224" s="174"/>
      <c r="F224" s="174">
        <v>412310</v>
      </c>
      <c r="G224" s="181" t="s">
        <v>475</v>
      </c>
      <c r="H224" s="38" t="s">
        <v>62</v>
      </c>
      <c r="I224" s="281">
        <v>0</v>
      </c>
      <c r="J224" s="281">
        <f>K224-I224</f>
        <v>0</v>
      </c>
      <c r="K224" s="281">
        <v>0</v>
      </c>
      <c r="L224" s="31"/>
      <c r="M224" s="31"/>
      <c r="N224" s="410"/>
      <c r="O224" s="196"/>
    </row>
    <row r="225" spans="1:15" ht="28.5" customHeight="1" x14ac:dyDescent="0.25">
      <c r="A225" s="174"/>
      <c r="B225" s="172">
        <v>42</v>
      </c>
      <c r="C225" s="213"/>
      <c r="D225" s="213"/>
      <c r="E225" s="213"/>
      <c r="F225" s="214"/>
      <c r="G225" s="181" t="s">
        <v>475</v>
      </c>
      <c r="H225" s="43" t="s">
        <v>63</v>
      </c>
      <c r="I225" s="281">
        <f>I226+I235</f>
        <v>336500</v>
      </c>
      <c r="J225" s="281">
        <f>J226+J235</f>
        <v>-336500</v>
      </c>
      <c r="K225" s="281">
        <f>K226+K235</f>
        <v>0</v>
      </c>
      <c r="L225" s="31"/>
      <c r="M225" s="31"/>
      <c r="N225" s="410"/>
      <c r="O225" s="196"/>
    </row>
    <row r="226" spans="1:15" ht="21.95" hidden="1" customHeight="1" x14ac:dyDescent="0.25">
      <c r="A226" s="174"/>
      <c r="B226" s="176"/>
      <c r="C226" s="172">
        <v>422</v>
      </c>
      <c r="D226" s="172"/>
      <c r="E226" s="172"/>
      <c r="F226" s="42"/>
      <c r="G226" s="181" t="s">
        <v>475</v>
      </c>
      <c r="H226" s="43" t="s">
        <v>64</v>
      </c>
      <c r="I226" s="281">
        <f>I227+I230</f>
        <v>336500</v>
      </c>
      <c r="J226" s="281">
        <f>J227+J230</f>
        <v>-336500</v>
      </c>
      <c r="K226" s="281">
        <f>K227+K230</f>
        <v>0</v>
      </c>
      <c r="L226" s="31"/>
      <c r="M226" s="31"/>
      <c r="N226" s="410"/>
      <c r="O226" s="196"/>
    </row>
    <row r="227" spans="1:15" ht="20.100000000000001" hidden="1" customHeight="1" x14ac:dyDescent="0.25">
      <c r="A227" s="174"/>
      <c r="B227" s="174"/>
      <c r="C227" s="174"/>
      <c r="D227" s="174">
        <v>4221</v>
      </c>
      <c r="E227" s="174"/>
      <c r="F227" s="44"/>
      <c r="G227" s="181" t="s">
        <v>475</v>
      </c>
      <c r="H227" s="38" t="s">
        <v>65</v>
      </c>
      <c r="I227" s="282">
        <f t="shared" ref="I227:K227" si="31">I228</f>
        <v>0</v>
      </c>
      <c r="J227" s="282">
        <f t="shared" si="31"/>
        <v>0</v>
      </c>
      <c r="K227" s="282">
        <f t="shared" si="31"/>
        <v>0</v>
      </c>
      <c r="L227" s="31"/>
      <c r="M227" s="31"/>
      <c r="N227" s="410"/>
      <c r="O227" s="196"/>
    </row>
    <row r="228" spans="1:15" ht="20.100000000000001" hidden="1" customHeight="1" x14ac:dyDescent="0.25">
      <c r="A228" s="174"/>
      <c r="B228" s="174"/>
      <c r="C228" s="174"/>
      <c r="D228" s="174"/>
      <c r="E228" s="171" t="s">
        <v>328</v>
      </c>
      <c r="F228" s="38"/>
      <c r="G228" s="181" t="s">
        <v>475</v>
      </c>
      <c r="H228" s="38" t="s">
        <v>329</v>
      </c>
      <c r="I228" s="282">
        <f>I229</f>
        <v>0</v>
      </c>
      <c r="J228" s="282">
        <f>J229</f>
        <v>0</v>
      </c>
      <c r="K228" s="282">
        <f>K229</f>
        <v>0</v>
      </c>
      <c r="L228" s="31"/>
      <c r="M228" s="31"/>
      <c r="N228" s="410"/>
      <c r="O228" s="196"/>
    </row>
    <row r="229" spans="1:15" ht="20.100000000000001" hidden="1" customHeight="1" x14ac:dyDescent="0.25">
      <c r="A229" s="174"/>
      <c r="B229" s="174"/>
      <c r="C229" s="174"/>
      <c r="D229" s="174"/>
      <c r="E229" s="171"/>
      <c r="F229" s="38" t="s">
        <v>330</v>
      </c>
      <c r="G229" s="181" t="s">
        <v>475</v>
      </c>
      <c r="H229" s="38" t="s">
        <v>329</v>
      </c>
      <c r="I229" s="282">
        <v>0</v>
      </c>
      <c r="J229" s="282">
        <f>K229-I229</f>
        <v>0</v>
      </c>
      <c r="K229" s="282">
        <v>0</v>
      </c>
      <c r="L229" s="31"/>
      <c r="M229" s="31"/>
      <c r="N229" s="410"/>
      <c r="O229" s="196"/>
    </row>
    <row r="230" spans="1:15" ht="20.100000000000001" hidden="1" customHeight="1" x14ac:dyDescent="0.25">
      <c r="A230" s="174"/>
      <c r="B230" s="174"/>
      <c r="C230" s="174"/>
      <c r="D230" s="174">
        <v>4224</v>
      </c>
      <c r="E230" s="174"/>
      <c r="F230" s="44"/>
      <c r="G230" s="181" t="s">
        <v>475</v>
      </c>
      <c r="H230" s="38" t="s">
        <v>66</v>
      </c>
      <c r="I230" s="282">
        <f t="shared" ref="I230:K230" si="32">I231+I233</f>
        <v>336500</v>
      </c>
      <c r="J230" s="282">
        <f t="shared" si="32"/>
        <v>-336500</v>
      </c>
      <c r="K230" s="282">
        <f t="shared" si="32"/>
        <v>0</v>
      </c>
      <c r="L230" s="31"/>
      <c r="M230" s="31"/>
      <c r="N230" s="410"/>
      <c r="O230" s="196"/>
    </row>
    <row r="231" spans="1:15" ht="20.100000000000001" hidden="1" customHeight="1" x14ac:dyDescent="0.25">
      <c r="A231" s="174"/>
      <c r="B231" s="174"/>
      <c r="C231" s="174"/>
      <c r="D231" s="174"/>
      <c r="E231" s="171" t="s">
        <v>334</v>
      </c>
      <c r="F231" s="38"/>
      <c r="G231" s="181" t="s">
        <v>475</v>
      </c>
      <c r="H231" s="38" t="s">
        <v>335</v>
      </c>
      <c r="I231" s="282">
        <f t="shared" ref="I231:K231" si="33">I232</f>
        <v>0</v>
      </c>
      <c r="J231" s="282">
        <f t="shared" si="33"/>
        <v>0</v>
      </c>
      <c r="K231" s="282">
        <f t="shared" si="33"/>
        <v>0</v>
      </c>
      <c r="L231" s="31"/>
      <c r="M231" s="31"/>
      <c r="N231" s="410"/>
      <c r="O231" s="196"/>
    </row>
    <row r="232" spans="1:15" ht="20.100000000000001" hidden="1" customHeight="1" x14ac:dyDescent="0.25">
      <c r="A232" s="174"/>
      <c r="B232" s="174"/>
      <c r="C232" s="174"/>
      <c r="D232" s="174"/>
      <c r="E232" s="171"/>
      <c r="F232" s="38" t="s">
        <v>336</v>
      </c>
      <c r="G232" s="181" t="s">
        <v>475</v>
      </c>
      <c r="H232" s="38" t="s">
        <v>335</v>
      </c>
      <c r="I232" s="282">
        <v>0</v>
      </c>
      <c r="J232" s="282">
        <f>K232-I232</f>
        <v>0</v>
      </c>
      <c r="K232" s="282">
        <v>0</v>
      </c>
      <c r="L232" s="31"/>
      <c r="M232" s="31"/>
      <c r="N232" s="410"/>
      <c r="O232" s="196"/>
    </row>
    <row r="233" spans="1:15" ht="20.100000000000001" hidden="1" customHeight="1" x14ac:dyDescent="0.25">
      <c r="A233" s="174"/>
      <c r="B233" s="174"/>
      <c r="C233" s="174"/>
      <c r="D233" s="174"/>
      <c r="E233" s="171" t="s">
        <v>337</v>
      </c>
      <c r="F233" s="38"/>
      <c r="G233" s="181" t="s">
        <v>475</v>
      </c>
      <c r="H233" s="38" t="s">
        <v>338</v>
      </c>
      <c r="I233" s="282">
        <f t="shared" ref="I233:K233" si="34">I234</f>
        <v>336500</v>
      </c>
      <c r="J233" s="282">
        <f t="shared" si="34"/>
        <v>-336500</v>
      </c>
      <c r="K233" s="282">
        <f t="shared" si="34"/>
        <v>0</v>
      </c>
      <c r="L233" s="31"/>
      <c r="M233" s="31"/>
      <c r="N233" s="410"/>
      <c r="O233" s="196"/>
    </row>
    <row r="234" spans="1:15" ht="20.100000000000001" hidden="1" customHeight="1" x14ac:dyDescent="0.25">
      <c r="A234" s="174"/>
      <c r="B234" s="174"/>
      <c r="C234" s="174"/>
      <c r="D234" s="174"/>
      <c r="E234" s="171"/>
      <c r="F234" s="38" t="s">
        <v>339</v>
      </c>
      <c r="G234" s="181" t="s">
        <v>475</v>
      </c>
      <c r="H234" s="38" t="s">
        <v>338</v>
      </c>
      <c r="I234" s="282">
        <v>336500</v>
      </c>
      <c r="J234" s="282">
        <f>K234-I234</f>
        <v>-336500</v>
      </c>
      <c r="K234" s="282">
        <v>0</v>
      </c>
      <c r="L234" s="31"/>
      <c r="M234" s="31"/>
      <c r="N234" s="410"/>
      <c r="O234" s="196"/>
    </row>
    <row r="235" spans="1:15" ht="20.100000000000001" hidden="1" customHeight="1" x14ac:dyDescent="0.25">
      <c r="A235" s="176"/>
      <c r="B235" s="176"/>
      <c r="C235" s="172">
        <v>426</v>
      </c>
      <c r="D235" s="172"/>
      <c r="E235" s="172"/>
      <c r="F235" s="42"/>
      <c r="G235" s="181" t="s">
        <v>466</v>
      </c>
      <c r="H235" s="216" t="s">
        <v>71</v>
      </c>
      <c r="I235" s="282">
        <f t="shared" ref="I235:K237" si="35">I236</f>
        <v>0</v>
      </c>
      <c r="J235" s="282">
        <f t="shared" si="35"/>
        <v>0</v>
      </c>
      <c r="K235" s="282">
        <f t="shared" si="35"/>
        <v>0</v>
      </c>
      <c r="L235" s="31"/>
      <c r="M235" s="31"/>
      <c r="N235" s="410"/>
      <c r="O235" s="196"/>
    </row>
    <row r="236" spans="1:15" ht="20.100000000000001" hidden="1" customHeight="1" x14ac:dyDescent="0.25">
      <c r="A236" s="174"/>
      <c r="B236" s="174"/>
      <c r="C236" s="174"/>
      <c r="D236" s="174">
        <v>4262</v>
      </c>
      <c r="E236" s="174"/>
      <c r="F236" s="44"/>
      <c r="G236" s="181" t="s">
        <v>466</v>
      </c>
      <c r="H236" s="41" t="s">
        <v>72</v>
      </c>
      <c r="I236" s="282">
        <f t="shared" si="35"/>
        <v>0</v>
      </c>
      <c r="J236" s="282">
        <f t="shared" si="35"/>
        <v>0</v>
      </c>
      <c r="K236" s="282">
        <f t="shared" si="35"/>
        <v>0</v>
      </c>
      <c r="L236" s="31"/>
      <c r="M236" s="31"/>
      <c r="N236" s="410"/>
      <c r="O236" s="196"/>
    </row>
    <row r="237" spans="1:15" ht="20.100000000000001" hidden="1" customHeight="1" x14ac:dyDescent="0.25">
      <c r="A237" s="174"/>
      <c r="B237" s="174"/>
      <c r="C237" s="174"/>
      <c r="D237" s="174"/>
      <c r="E237" s="171" t="s">
        <v>346</v>
      </c>
      <c r="F237" s="38"/>
      <c r="G237" s="181" t="s">
        <v>466</v>
      </c>
      <c r="H237" s="38" t="s">
        <v>72</v>
      </c>
      <c r="I237" s="282">
        <f t="shared" si="35"/>
        <v>0</v>
      </c>
      <c r="J237" s="282">
        <f t="shared" si="35"/>
        <v>0</v>
      </c>
      <c r="K237" s="282">
        <f t="shared" si="35"/>
        <v>0</v>
      </c>
      <c r="L237" s="31"/>
      <c r="M237" s="31"/>
      <c r="N237" s="410"/>
      <c r="O237" s="196"/>
    </row>
    <row r="238" spans="1:15" ht="20.100000000000001" hidden="1" customHeight="1" x14ac:dyDescent="0.25">
      <c r="A238" s="174"/>
      <c r="B238" s="174"/>
      <c r="C238" s="174"/>
      <c r="D238" s="174"/>
      <c r="E238" s="171"/>
      <c r="F238" s="38" t="s">
        <v>347</v>
      </c>
      <c r="G238" s="181" t="s">
        <v>466</v>
      </c>
      <c r="H238" s="38" t="s">
        <v>72</v>
      </c>
      <c r="I238" s="282">
        <v>0</v>
      </c>
      <c r="J238" s="282">
        <f>K238-I238</f>
        <v>0</v>
      </c>
      <c r="K238" s="282">
        <v>0</v>
      </c>
      <c r="L238" s="31"/>
      <c r="M238" s="31"/>
      <c r="N238" s="410"/>
      <c r="O238" s="196"/>
    </row>
    <row r="239" spans="1:15" ht="28.5" customHeight="1" x14ac:dyDescent="0.25">
      <c r="A239" s="442"/>
      <c r="B239" s="442"/>
      <c r="C239" s="442"/>
      <c r="D239" s="442"/>
      <c r="E239" s="442"/>
      <c r="F239" s="307"/>
      <c r="G239" s="443"/>
      <c r="H239" s="307" t="s">
        <v>533</v>
      </c>
      <c r="I239" s="444"/>
      <c r="J239" s="444"/>
      <c r="K239" s="444"/>
      <c r="L239" s="31"/>
      <c r="M239" s="31"/>
      <c r="N239" s="255"/>
      <c r="O239" s="196"/>
    </row>
    <row r="240" spans="1:15" ht="19.5" customHeight="1" x14ac:dyDescent="0.25">
      <c r="A240" s="312"/>
      <c r="B240" s="312"/>
      <c r="C240" s="312"/>
      <c r="D240" s="313"/>
      <c r="E240" s="312"/>
      <c r="F240" s="312"/>
      <c r="G240" s="314"/>
      <c r="H240" s="315" t="s">
        <v>288</v>
      </c>
      <c r="I240" s="316"/>
      <c r="J240" s="316"/>
      <c r="K240" s="316"/>
      <c r="L240" s="31"/>
      <c r="M240" s="31"/>
      <c r="N240" s="255"/>
      <c r="O240" s="196"/>
    </row>
    <row r="241" spans="1:15" ht="20.100000000000001" customHeight="1" x14ac:dyDescent="0.25">
      <c r="A241" s="172">
        <v>3</v>
      </c>
      <c r="B241" s="172"/>
      <c r="C241" s="172"/>
      <c r="D241" s="172"/>
      <c r="E241" s="173"/>
      <c r="F241" s="43"/>
      <c r="G241" s="215"/>
      <c r="H241" s="43" t="s">
        <v>81</v>
      </c>
      <c r="I241" s="281">
        <f t="shared" ref="I241:K241" si="36">I242+I256</f>
        <v>34500</v>
      </c>
      <c r="J241" s="281">
        <f t="shared" si="36"/>
        <v>0</v>
      </c>
      <c r="K241" s="281">
        <f t="shared" si="36"/>
        <v>34500</v>
      </c>
      <c r="L241" s="31">
        <v>0</v>
      </c>
      <c r="M241" s="31"/>
      <c r="N241" s="410"/>
      <c r="O241" s="196"/>
    </row>
    <row r="242" spans="1:15" ht="20.100000000000001" customHeight="1" x14ac:dyDescent="0.25">
      <c r="A242" s="174"/>
      <c r="B242" s="172">
        <v>31</v>
      </c>
      <c r="C242" s="172"/>
      <c r="D242" s="172"/>
      <c r="E242" s="173"/>
      <c r="F242" s="43"/>
      <c r="G242" s="181" t="s">
        <v>448</v>
      </c>
      <c r="H242" s="43" t="s">
        <v>13</v>
      </c>
      <c r="I242" s="281">
        <f>I243+I247</f>
        <v>34500</v>
      </c>
      <c r="J242" s="281">
        <f>J243+J247</f>
        <v>0</v>
      </c>
      <c r="K242" s="281">
        <f>K243+K247</f>
        <v>34500</v>
      </c>
      <c r="L242" s="31">
        <v>0</v>
      </c>
      <c r="M242" s="31"/>
      <c r="N242" s="410"/>
      <c r="O242" s="196"/>
    </row>
    <row r="243" spans="1:15" ht="20.100000000000001" hidden="1" customHeight="1" x14ac:dyDescent="0.25">
      <c r="A243" s="174"/>
      <c r="B243" s="172"/>
      <c r="C243" s="172">
        <v>311</v>
      </c>
      <c r="D243" s="172"/>
      <c r="E243" s="173"/>
      <c r="F243" s="43"/>
      <c r="G243" s="181" t="s">
        <v>448</v>
      </c>
      <c r="H243" s="43" t="s">
        <v>14</v>
      </c>
      <c r="I243" s="281">
        <f t="shared" ref="I243:K245" si="37">I244</f>
        <v>29200</v>
      </c>
      <c r="J243" s="281">
        <f t="shared" si="37"/>
        <v>0</v>
      </c>
      <c r="K243" s="281">
        <f t="shared" si="37"/>
        <v>29200</v>
      </c>
      <c r="L243" s="31">
        <v>0</v>
      </c>
      <c r="M243" s="31"/>
      <c r="N243" s="410"/>
      <c r="O243" s="196"/>
    </row>
    <row r="244" spans="1:15" ht="20.100000000000001" hidden="1" customHeight="1" x14ac:dyDescent="0.25">
      <c r="A244" s="174"/>
      <c r="B244" s="174"/>
      <c r="C244" s="174"/>
      <c r="D244" s="174">
        <v>3111</v>
      </c>
      <c r="E244" s="171"/>
      <c r="F244" s="38"/>
      <c r="G244" s="181" t="s">
        <v>448</v>
      </c>
      <c r="H244" s="38" t="s">
        <v>15</v>
      </c>
      <c r="I244" s="282">
        <f t="shared" si="37"/>
        <v>29200</v>
      </c>
      <c r="J244" s="282">
        <f t="shared" si="37"/>
        <v>0</v>
      </c>
      <c r="K244" s="282">
        <f t="shared" si="37"/>
        <v>29200</v>
      </c>
      <c r="L244" s="31">
        <v>0</v>
      </c>
      <c r="M244" s="31"/>
      <c r="N244" s="410"/>
      <c r="O244" s="196"/>
    </row>
    <row r="245" spans="1:15" ht="20.100000000000001" hidden="1" customHeight="1" x14ac:dyDescent="0.25">
      <c r="A245" s="174"/>
      <c r="B245" s="174"/>
      <c r="C245" s="174"/>
      <c r="D245" s="174"/>
      <c r="E245" s="171" t="s">
        <v>290</v>
      </c>
      <c r="F245" s="38"/>
      <c r="G245" s="181" t="s">
        <v>448</v>
      </c>
      <c r="H245" s="38" t="s">
        <v>291</v>
      </c>
      <c r="I245" s="282">
        <f t="shared" si="37"/>
        <v>29200</v>
      </c>
      <c r="J245" s="282">
        <f t="shared" si="37"/>
        <v>0</v>
      </c>
      <c r="K245" s="282">
        <f t="shared" si="37"/>
        <v>29200</v>
      </c>
      <c r="L245" s="31">
        <v>0</v>
      </c>
      <c r="M245" s="31"/>
      <c r="N245" s="410"/>
      <c r="O245" s="196"/>
    </row>
    <row r="246" spans="1:15" ht="28.5" hidden="1" customHeight="1" x14ac:dyDescent="0.25">
      <c r="A246" s="174"/>
      <c r="B246" s="174"/>
      <c r="C246" s="174"/>
      <c r="D246" s="174"/>
      <c r="E246" s="171"/>
      <c r="F246" s="38" t="s">
        <v>449</v>
      </c>
      <c r="G246" s="181" t="s">
        <v>448</v>
      </c>
      <c r="H246" s="38" t="s">
        <v>450</v>
      </c>
      <c r="I246" s="282">
        <v>29200</v>
      </c>
      <c r="J246" s="282">
        <f>K246-I246</f>
        <v>0</v>
      </c>
      <c r="K246" s="282">
        <v>29200</v>
      </c>
      <c r="L246" s="31">
        <v>0</v>
      </c>
      <c r="M246" s="31"/>
      <c r="N246" s="410"/>
      <c r="O246" s="196"/>
    </row>
    <row r="247" spans="1:15" ht="20.100000000000001" hidden="1" customHeight="1" x14ac:dyDescent="0.25">
      <c r="A247" s="174"/>
      <c r="B247" s="174"/>
      <c r="C247" s="172">
        <v>313</v>
      </c>
      <c r="D247" s="172"/>
      <c r="E247" s="173"/>
      <c r="F247" s="43"/>
      <c r="G247" s="181" t="s">
        <v>448</v>
      </c>
      <c r="H247" s="43" t="s">
        <v>100</v>
      </c>
      <c r="I247" s="281">
        <f t="shared" ref="I247:K247" si="38">I248+I253</f>
        <v>5300</v>
      </c>
      <c r="J247" s="281">
        <f t="shared" si="38"/>
        <v>0</v>
      </c>
      <c r="K247" s="281">
        <f t="shared" si="38"/>
        <v>5300</v>
      </c>
      <c r="L247" s="31">
        <v>0</v>
      </c>
      <c r="M247" s="31"/>
      <c r="N247" s="410"/>
      <c r="O247" s="196"/>
    </row>
    <row r="248" spans="1:15" ht="20.100000000000001" hidden="1" customHeight="1" x14ac:dyDescent="0.25">
      <c r="A248" s="174"/>
      <c r="B248" s="174"/>
      <c r="C248" s="174"/>
      <c r="D248" s="174">
        <v>3132</v>
      </c>
      <c r="E248" s="171"/>
      <c r="F248" s="38"/>
      <c r="G248" s="181" t="s">
        <v>448</v>
      </c>
      <c r="H248" s="38" t="s">
        <v>20</v>
      </c>
      <c r="I248" s="282">
        <f t="shared" ref="I248:K248" si="39">I249+I251</f>
        <v>5300</v>
      </c>
      <c r="J248" s="282">
        <f t="shared" si="39"/>
        <v>0</v>
      </c>
      <c r="K248" s="282">
        <f t="shared" si="39"/>
        <v>5300</v>
      </c>
      <c r="L248" s="31">
        <v>0</v>
      </c>
      <c r="M248" s="31"/>
      <c r="N248" s="410"/>
      <c r="O248" s="196"/>
    </row>
    <row r="249" spans="1:15" ht="20.100000000000001" hidden="1" customHeight="1" x14ac:dyDescent="0.25">
      <c r="A249" s="174"/>
      <c r="B249" s="174"/>
      <c r="C249" s="174"/>
      <c r="D249" s="174"/>
      <c r="E249" s="171" t="s">
        <v>300</v>
      </c>
      <c r="F249" s="38"/>
      <c r="G249" s="181" t="s">
        <v>448</v>
      </c>
      <c r="H249" s="38" t="s">
        <v>20</v>
      </c>
      <c r="I249" s="282">
        <f t="shared" ref="I249:K249" si="40">I250</f>
        <v>5300</v>
      </c>
      <c r="J249" s="282">
        <f t="shared" si="40"/>
        <v>0</v>
      </c>
      <c r="K249" s="282">
        <f t="shared" si="40"/>
        <v>5300</v>
      </c>
      <c r="L249" s="31">
        <v>0</v>
      </c>
      <c r="M249" s="31"/>
      <c r="N249" s="410"/>
      <c r="O249" s="196"/>
    </row>
    <row r="250" spans="1:15" ht="28.5" hidden="1" customHeight="1" x14ac:dyDescent="0.25">
      <c r="A250" s="174"/>
      <c r="B250" s="174"/>
      <c r="C250" s="174"/>
      <c r="D250" s="174"/>
      <c r="E250" s="171"/>
      <c r="F250" s="38" t="s">
        <v>301</v>
      </c>
      <c r="G250" s="181" t="s">
        <v>448</v>
      </c>
      <c r="H250" s="38" t="s">
        <v>451</v>
      </c>
      <c r="I250" s="282">
        <v>5300</v>
      </c>
      <c r="J250" s="282">
        <f>K250-I250</f>
        <v>0</v>
      </c>
      <c r="K250" s="282">
        <v>5300</v>
      </c>
      <c r="L250" s="31">
        <v>0</v>
      </c>
      <c r="M250" s="31"/>
      <c r="N250" s="410"/>
      <c r="O250" s="196"/>
    </row>
    <row r="251" spans="1:15" ht="30" hidden="1" customHeight="1" x14ac:dyDescent="0.25">
      <c r="A251" s="174"/>
      <c r="B251" s="174"/>
      <c r="C251" s="174"/>
      <c r="D251" s="174"/>
      <c r="E251" s="171" t="s">
        <v>302</v>
      </c>
      <c r="F251" s="38"/>
      <c r="G251" s="181" t="s">
        <v>448</v>
      </c>
      <c r="H251" s="38" t="s">
        <v>101</v>
      </c>
      <c r="I251" s="282">
        <f t="shared" ref="I251:K251" si="41">I252</f>
        <v>0</v>
      </c>
      <c r="J251" s="282">
        <f t="shared" si="41"/>
        <v>0</v>
      </c>
      <c r="K251" s="282">
        <f t="shared" si="41"/>
        <v>0</v>
      </c>
      <c r="L251" s="31">
        <v>0</v>
      </c>
      <c r="M251" s="31"/>
      <c r="N251" s="410"/>
      <c r="O251" s="196"/>
    </row>
    <row r="252" spans="1:15" ht="30" hidden="1" customHeight="1" x14ac:dyDescent="0.25">
      <c r="A252" s="174"/>
      <c r="B252" s="174"/>
      <c r="C252" s="174"/>
      <c r="D252" s="174"/>
      <c r="E252" s="171"/>
      <c r="F252" s="38" t="s">
        <v>303</v>
      </c>
      <c r="G252" s="181" t="s">
        <v>448</v>
      </c>
      <c r="H252" s="38" t="s">
        <v>451</v>
      </c>
      <c r="I252" s="282">
        <v>0</v>
      </c>
      <c r="J252" s="282">
        <f>K252-I252</f>
        <v>0</v>
      </c>
      <c r="K252" s="282">
        <v>0</v>
      </c>
      <c r="L252" s="31">
        <v>0</v>
      </c>
      <c r="M252" s="31"/>
      <c r="N252" s="410"/>
      <c r="O252" s="196"/>
    </row>
    <row r="253" spans="1:15" ht="30" hidden="1" customHeight="1" x14ac:dyDescent="0.25">
      <c r="A253" s="174"/>
      <c r="B253" s="174"/>
      <c r="C253" s="174"/>
      <c r="D253" s="174">
        <v>3133</v>
      </c>
      <c r="E253" s="171"/>
      <c r="F253" s="38"/>
      <c r="G253" s="181" t="s">
        <v>448</v>
      </c>
      <c r="H253" s="38" t="s">
        <v>21</v>
      </c>
      <c r="I253" s="282">
        <f t="shared" ref="I253:K254" si="42">I254</f>
        <v>0</v>
      </c>
      <c r="J253" s="282">
        <f t="shared" si="42"/>
        <v>0</v>
      </c>
      <c r="K253" s="282">
        <f t="shared" si="42"/>
        <v>0</v>
      </c>
      <c r="L253" s="31">
        <v>0</v>
      </c>
      <c r="M253" s="31"/>
      <c r="N253" s="410"/>
      <c r="O253" s="196"/>
    </row>
    <row r="254" spans="1:15" ht="30" hidden="1" customHeight="1" x14ac:dyDescent="0.25">
      <c r="A254" s="174"/>
      <c r="B254" s="174"/>
      <c r="C254" s="174"/>
      <c r="D254" s="174"/>
      <c r="E254" s="171" t="s">
        <v>304</v>
      </c>
      <c r="F254" s="38"/>
      <c r="G254" s="181" t="s">
        <v>448</v>
      </c>
      <c r="H254" s="38" t="s">
        <v>21</v>
      </c>
      <c r="I254" s="282">
        <f t="shared" si="42"/>
        <v>0</v>
      </c>
      <c r="J254" s="282">
        <f t="shared" si="42"/>
        <v>0</v>
      </c>
      <c r="K254" s="282">
        <f t="shared" si="42"/>
        <v>0</v>
      </c>
      <c r="L254" s="31">
        <v>0</v>
      </c>
      <c r="M254" s="31"/>
      <c r="N254" s="410"/>
      <c r="O254" s="196"/>
    </row>
    <row r="255" spans="1:15" ht="28.5" hidden="1" customHeight="1" x14ac:dyDescent="0.25">
      <c r="A255" s="174"/>
      <c r="B255" s="174"/>
      <c r="C255" s="174"/>
      <c r="D255" s="174"/>
      <c r="E255" s="171"/>
      <c r="F255" s="38" t="s">
        <v>305</v>
      </c>
      <c r="G255" s="181" t="s">
        <v>448</v>
      </c>
      <c r="H255" s="38" t="s">
        <v>452</v>
      </c>
      <c r="I255" s="282">
        <v>0</v>
      </c>
      <c r="J255" s="282">
        <f>K255-I255</f>
        <v>0</v>
      </c>
      <c r="K255" s="282">
        <v>0</v>
      </c>
      <c r="L255" s="31">
        <v>0</v>
      </c>
      <c r="M255" s="31"/>
      <c r="N255" s="410"/>
      <c r="O255" s="196"/>
    </row>
    <row r="256" spans="1:15" ht="20.100000000000001" hidden="1" customHeight="1" x14ac:dyDescent="0.25">
      <c r="A256" s="174">
        <v>23800</v>
      </c>
      <c r="B256" s="172">
        <v>32</v>
      </c>
      <c r="C256" s="172"/>
      <c r="D256" s="174"/>
      <c r="E256" s="171"/>
      <c r="F256" s="38"/>
      <c r="G256" s="181"/>
      <c r="H256" s="38" t="s">
        <v>22</v>
      </c>
      <c r="I256" s="282">
        <f t="shared" ref="I256:K259" si="43">I257</f>
        <v>0</v>
      </c>
      <c r="J256" s="282">
        <f t="shared" si="43"/>
        <v>0</v>
      </c>
      <c r="K256" s="282">
        <f t="shared" si="43"/>
        <v>0</v>
      </c>
      <c r="L256" s="31">
        <v>0</v>
      </c>
      <c r="M256" s="31"/>
      <c r="N256" s="410"/>
      <c r="O256" s="196"/>
    </row>
    <row r="257" spans="1:15" ht="20.100000000000001" hidden="1" customHeight="1" x14ac:dyDescent="0.25">
      <c r="A257" s="174"/>
      <c r="B257" s="172"/>
      <c r="C257" s="172">
        <v>321</v>
      </c>
      <c r="D257" s="174"/>
      <c r="E257" s="171"/>
      <c r="F257" s="38"/>
      <c r="G257" s="181" t="s">
        <v>448</v>
      </c>
      <c r="H257" s="38" t="s">
        <v>23</v>
      </c>
      <c r="I257" s="282">
        <f t="shared" si="43"/>
        <v>0</v>
      </c>
      <c r="J257" s="282">
        <f t="shared" si="43"/>
        <v>0</v>
      </c>
      <c r="K257" s="282">
        <f t="shared" si="43"/>
        <v>0</v>
      </c>
      <c r="L257" s="31">
        <v>0</v>
      </c>
      <c r="M257" s="31"/>
      <c r="N257" s="410"/>
      <c r="O257" s="196"/>
    </row>
    <row r="258" spans="1:15" ht="30" hidden="1" customHeight="1" x14ac:dyDescent="0.25">
      <c r="A258" s="174"/>
      <c r="B258" s="174"/>
      <c r="C258" s="174"/>
      <c r="D258" s="174">
        <v>3212</v>
      </c>
      <c r="E258" s="171"/>
      <c r="F258" s="38"/>
      <c r="G258" s="181" t="s">
        <v>448</v>
      </c>
      <c r="H258" s="38" t="s">
        <v>25</v>
      </c>
      <c r="I258" s="282">
        <f t="shared" si="43"/>
        <v>0</v>
      </c>
      <c r="J258" s="282">
        <f t="shared" si="43"/>
        <v>0</v>
      </c>
      <c r="K258" s="282">
        <f t="shared" si="43"/>
        <v>0</v>
      </c>
      <c r="L258" s="31">
        <v>0</v>
      </c>
      <c r="M258" s="31"/>
      <c r="N258" s="410"/>
      <c r="O258" s="196"/>
    </row>
    <row r="259" spans="1:15" ht="20.100000000000001" hidden="1" customHeight="1" x14ac:dyDescent="0.25">
      <c r="A259" s="174"/>
      <c r="B259" s="174"/>
      <c r="C259" s="174"/>
      <c r="D259" s="174"/>
      <c r="E259" s="171" t="s">
        <v>314</v>
      </c>
      <c r="F259" s="38"/>
      <c r="G259" s="181" t="s">
        <v>448</v>
      </c>
      <c r="H259" s="38" t="s">
        <v>106</v>
      </c>
      <c r="I259" s="282">
        <f t="shared" si="43"/>
        <v>0</v>
      </c>
      <c r="J259" s="282">
        <f t="shared" si="43"/>
        <v>0</v>
      </c>
      <c r="K259" s="282">
        <f t="shared" si="43"/>
        <v>0</v>
      </c>
      <c r="L259" s="31">
        <v>0</v>
      </c>
      <c r="M259" s="31"/>
      <c r="N259" s="410"/>
      <c r="O259" s="196"/>
    </row>
    <row r="260" spans="1:15" ht="28.5" hidden="1" customHeight="1" x14ac:dyDescent="0.25">
      <c r="A260" s="174"/>
      <c r="B260" s="174"/>
      <c r="C260" s="174"/>
      <c r="D260" s="174"/>
      <c r="E260" s="171"/>
      <c r="F260" s="38" t="s">
        <v>453</v>
      </c>
      <c r="G260" s="181" t="s">
        <v>448</v>
      </c>
      <c r="H260" s="38" t="s">
        <v>454</v>
      </c>
      <c r="I260" s="282">
        <v>0</v>
      </c>
      <c r="J260" s="282">
        <f>K260-I260</f>
        <v>0</v>
      </c>
      <c r="K260" s="282">
        <v>0</v>
      </c>
      <c r="L260" s="31">
        <v>0</v>
      </c>
      <c r="M260" s="31"/>
      <c r="N260" s="410"/>
      <c r="O260" s="196"/>
    </row>
    <row r="261" spans="1:15" ht="30" hidden="1" customHeight="1" x14ac:dyDescent="0.25">
      <c r="A261" s="291"/>
      <c r="B261" s="292"/>
      <c r="C261" s="292"/>
      <c r="D261" s="292"/>
      <c r="E261" s="292"/>
      <c r="F261" s="293"/>
      <c r="G261" s="294"/>
      <c r="H261" s="293" t="s">
        <v>501</v>
      </c>
      <c r="I261" s="295"/>
      <c r="J261" s="295"/>
      <c r="K261" s="295"/>
      <c r="L261" s="31"/>
      <c r="M261" s="31"/>
      <c r="N261" s="410"/>
      <c r="O261" s="196"/>
    </row>
    <row r="262" spans="1:15" ht="20.100000000000001" hidden="1" customHeight="1" x14ac:dyDescent="0.25">
      <c r="A262" s="172">
        <v>3</v>
      </c>
      <c r="B262" s="172"/>
      <c r="C262" s="172"/>
      <c r="D262" s="172"/>
      <c r="E262" s="173"/>
      <c r="F262" s="43"/>
      <c r="G262" s="215"/>
      <c r="H262" s="43" t="s">
        <v>81</v>
      </c>
      <c r="I262" s="281">
        <f t="shared" ref="I262:K262" si="44">I263</f>
        <v>0</v>
      </c>
      <c r="J262" s="281">
        <f t="shared" si="44"/>
        <v>0</v>
      </c>
      <c r="K262" s="281">
        <f t="shared" si="44"/>
        <v>0</v>
      </c>
      <c r="L262" s="31">
        <v>0</v>
      </c>
      <c r="M262" s="31"/>
      <c r="N262" s="410"/>
      <c r="O262" s="196"/>
    </row>
    <row r="263" spans="1:15" ht="20.100000000000001" hidden="1" customHeight="1" x14ac:dyDescent="0.25">
      <c r="A263" s="174"/>
      <c r="B263" s="172">
        <v>31</v>
      </c>
      <c r="C263" s="172"/>
      <c r="D263" s="172"/>
      <c r="E263" s="173"/>
      <c r="F263" s="43"/>
      <c r="G263" s="215"/>
      <c r="H263" s="43" t="s">
        <v>13</v>
      </c>
      <c r="I263" s="281">
        <f t="shared" ref="I263:K263" si="45">I264+I268</f>
        <v>0</v>
      </c>
      <c r="J263" s="281">
        <f t="shared" si="45"/>
        <v>0</v>
      </c>
      <c r="K263" s="281">
        <f t="shared" si="45"/>
        <v>0</v>
      </c>
      <c r="L263" s="31">
        <v>0</v>
      </c>
      <c r="M263" s="31"/>
      <c r="N263" s="410"/>
      <c r="O263" s="196"/>
    </row>
    <row r="264" spans="1:15" ht="20.100000000000001" hidden="1" customHeight="1" x14ac:dyDescent="0.25">
      <c r="A264" s="174"/>
      <c r="B264" s="172"/>
      <c r="C264" s="172">
        <v>311</v>
      </c>
      <c r="D264" s="172"/>
      <c r="E264" s="173"/>
      <c r="F264" s="43"/>
      <c r="G264" s="215"/>
      <c r="H264" s="43" t="s">
        <v>14</v>
      </c>
      <c r="I264" s="281">
        <f t="shared" ref="I264:K266" si="46">I265</f>
        <v>0</v>
      </c>
      <c r="J264" s="281">
        <f t="shared" si="46"/>
        <v>0</v>
      </c>
      <c r="K264" s="281">
        <f t="shared" si="46"/>
        <v>0</v>
      </c>
      <c r="L264" s="31">
        <v>0</v>
      </c>
      <c r="M264" s="31"/>
      <c r="N264" s="410"/>
      <c r="O264" s="196"/>
    </row>
    <row r="265" spans="1:15" ht="20.100000000000001" hidden="1" customHeight="1" x14ac:dyDescent="0.25">
      <c r="A265" s="174"/>
      <c r="B265" s="174"/>
      <c r="C265" s="174"/>
      <c r="D265" s="174">
        <v>3111</v>
      </c>
      <c r="E265" s="171"/>
      <c r="F265" s="38"/>
      <c r="G265" s="181" t="s">
        <v>448</v>
      </c>
      <c r="H265" s="38" t="s">
        <v>15</v>
      </c>
      <c r="I265" s="282">
        <f t="shared" si="46"/>
        <v>0</v>
      </c>
      <c r="J265" s="282">
        <f t="shared" si="46"/>
        <v>0</v>
      </c>
      <c r="K265" s="282">
        <f t="shared" si="46"/>
        <v>0</v>
      </c>
      <c r="L265" s="31">
        <v>0</v>
      </c>
      <c r="M265" s="31"/>
      <c r="N265" s="410"/>
      <c r="O265" s="196"/>
    </row>
    <row r="266" spans="1:15" ht="20.100000000000001" hidden="1" customHeight="1" x14ac:dyDescent="0.25">
      <c r="A266" s="174"/>
      <c r="B266" s="174"/>
      <c r="C266" s="174"/>
      <c r="D266" s="174"/>
      <c r="E266" s="171" t="s">
        <v>290</v>
      </c>
      <c r="F266" s="38"/>
      <c r="G266" s="181" t="s">
        <v>448</v>
      </c>
      <c r="H266" s="38" t="s">
        <v>291</v>
      </c>
      <c r="I266" s="282">
        <f t="shared" si="46"/>
        <v>0</v>
      </c>
      <c r="J266" s="282">
        <f t="shared" si="46"/>
        <v>0</v>
      </c>
      <c r="K266" s="282">
        <f t="shared" si="46"/>
        <v>0</v>
      </c>
      <c r="L266" s="31">
        <v>0</v>
      </c>
      <c r="M266" s="31"/>
      <c r="N266" s="410"/>
      <c r="O266" s="196"/>
    </row>
    <row r="267" spans="1:15" ht="28.5" hidden="1" customHeight="1" x14ac:dyDescent="0.25">
      <c r="A267" s="174"/>
      <c r="B267" s="174"/>
      <c r="C267" s="174"/>
      <c r="D267" s="174"/>
      <c r="E267" s="171"/>
      <c r="F267" s="38" t="s">
        <v>292</v>
      </c>
      <c r="G267" s="181">
        <v>55</v>
      </c>
      <c r="H267" s="38" t="s">
        <v>450</v>
      </c>
      <c r="I267" s="282">
        <v>0</v>
      </c>
      <c r="J267" s="282">
        <f>K267-I267</f>
        <v>0</v>
      </c>
      <c r="K267" s="282">
        <v>0</v>
      </c>
      <c r="L267" s="31">
        <v>0</v>
      </c>
      <c r="M267" s="31"/>
      <c r="N267" s="410"/>
      <c r="O267" s="196"/>
    </row>
    <row r="268" spans="1:15" ht="28.5" hidden="1" customHeight="1" x14ac:dyDescent="0.25">
      <c r="A268" s="174"/>
      <c r="B268" s="174"/>
      <c r="C268" s="172">
        <v>313</v>
      </c>
      <c r="D268" s="172"/>
      <c r="E268" s="173"/>
      <c r="F268" s="43"/>
      <c r="G268" s="181" t="s">
        <v>448</v>
      </c>
      <c r="H268" s="43" t="s">
        <v>100</v>
      </c>
      <c r="I268" s="282">
        <f t="shared" ref="I268:K269" si="47">I269</f>
        <v>0</v>
      </c>
      <c r="J268" s="282">
        <f t="shared" si="47"/>
        <v>0</v>
      </c>
      <c r="K268" s="282">
        <f t="shared" si="47"/>
        <v>0</v>
      </c>
      <c r="L268" s="31"/>
      <c r="M268" s="31"/>
      <c r="N268" s="410"/>
      <c r="O268" s="196"/>
    </row>
    <row r="269" spans="1:15" ht="28.5" hidden="1" customHeight="1" x14ac:dyDescent="0.25">
      <c r="A269" s="174"/>
      <c r="B269" s="174"/>
      <c r="C269" s="174"/>
      <c r="D269" s="174">
        <v>3132</v>
      </c>
      <c r="E269" s="171"/>
      <c r="F269" s="38"/>
      <c r="G269" s="181" t="s">
        <v>448</v>
      </c>
      <c r="H269" s="38" t="s">
        <v>20</v>
      </c>
      <c r="I269" s="282">
        <f t="shared" si="47"/>
        <v>0</v>
      </c>
      <c r="J269" s="282">
        <f t="shared" si="47"/>
        <v>0</v>
      </c>
      <c r="K269" s="282">
        <f t="shared" si="47"/>
        <v>0</v>
      </c>
      <c r="L269" s="31"/>
      <c r="M269" s="31"/>
      <c r="N269" s="410"/>
      <c r="O269" s="196"/>
    </row>
    <row r="270" spans="1:15" ht="28.5" hidden="1" customHeight="1" x14ac:dyDescent="0.25">
      <c r="A270" s="174"/>
      <c r="B270" s="174"/>
      <c r="C270" s="174"/>
      <c r="D270" s="174"/>
      <c r="E270" s="171" t="s">
        <v>300</v>
      </c>
      <c r="F270" s="38"/>
      <c r="G270" s="181" t="s">
        <v>448</v>
      </c>
      <c r="H270" s="38" t="s">
        <v>20</v>
      </c>
      <c r="I270" s="282">
        <f>I271</f>
        <v>0</v>
      </c>
      <c r="J270" s="282">
        <f>J271</f>
        <v>0</v>
      </c>
      <c r="K270" s="282">
        <f>K271</f>
        <v>0</v>
      </c>
      <c r="L270" s="31"/>
      <c r="M270" s="31"/>
      <c r="N270" s="410"/>
      <c r="O270" s="196"/>
    </row>
    <row r="271" spans="1:15" ht="25.5" hidden="1" x14ac:dyDescent="0.25">
      <c r="A271" s="174"/>
      <c r="B271" s="174"/>
      <c r="C271" s="174"/>
      <c r="D271" s="174"/>
      <c r="E271" s="171"/>
      <c r="F271" s="38" t="s">
        <v>301</v>
      </c>
      <c r="G271" s="181" t="s">
        <v>448</v>
      </c>
      <c r="H271" s="38" t="s">
        <v>451</v>
      </c>
      <c r="I271" s="282">
        <v>0</v>
      </c>
      <c r="J271" s="282">
        <f>K271-I271</f>
        <v>0</v>
      </c>
      <c r="K271" s="282">
        <v>0</v>
      </c>
      <c r="L271" s="31">
        <v>0</v>
      </c>
      <c r="M271" s="31"/>
      <c r="N271" s="410"/>
      <c r="O271" s="196"/>
    </row>
    <row r="272" spans="1:15" ht="20.100000000000001" hidden="1" customHeight="1" x14ac:dyDescent="0.25">
      <c r="A272" s="174"/>
      <c r="B272" s="174"/>
      <c r="C272" s="174">
        <v>321</v>
      </c>
      <c r="D272" s="174"/>
      <c r="E272" s="171"/>
      <c r="F272" s="38"/>
      <c r="G272" s="181"/>
      <c r="H272" s="38" t="s">
        <v>23</v>
      </c>
      <c r="I272" s="282">
        <f t="shared" ref="I272:K274" si="48">I273</f>
        <v>0</v>
      </c>
      <c r="J272" s="282">
        <f t="shared" si="48"/>
        <v>0</v>
      </c>
      <c r="K272" s="282">
        <f t="shared" si="48"/>
        <v>0</v>
      </c>
      <c r="L272" s="31">
        <v>0</v>
      </c>
      <c r="M272" s="31"/>
      <c r="N272" s="410"/>
      <c r="O272" s="196"/>
    </row>
    <row r="273" spans="1:18" ht="30" hidden="1" customHeight="1" x14ac:dyDescent="0.25">
      <c r="A273" s="174"/>
      <c r="B273" s="174"/>
      <c r="C273" s="174"/>
      <c r="D273" s="174">
        <v>3212</v>
      </c>
      <c r="E273" s="171"/>
      <c r="F273" s="38"/>
      <c r="G273" s="181" t="s">
        <v>448</v>
      </c>
      <c r="H273" s="38" t="s">
        <v>25</v>
      </c>
      <c r="I273" s="282">
        <f t="shared" si="48"/>
        <v>0</v>
      </c>
      <c r="J273" s="282">
        <f t="shared" si="48"/>
        <v>0</v>
      </c>
      <c r="K273" s="282">
        <f t="shared" si="48"/>
        <v>0</v>
      </c>
      <c r="L273" s="31">
        <v>0</v>
      </c>
      <c r="M273" s="31"/>
      <c r="N273" s="410"/>
      <c r="O273" s="196"/>
    </row>
    <row r="274" spans="1:18" ht="20.100000000000001" hidden="1" customHeight="1" x14ac:dyDescent="0.25">
      <c r="A274" s="174"/>
      <c r="B274" s="174"/>
      <c r="C274" s="174"/>
      <c r="D274" s="174"/>
      <c r="E274" s="171" t="s">
        <v>314</v>
      </c>
      <c r="F274" s="38"/>
      <c r="G274" s="181" t="s">
        <v>448</v>
      </c>
      <c r="H274" s="38" t="s">
        <v>106</v>
      </c>
      <c r="I274" s="282">
        <f t="shared" si="48"/>
        <v>0</v>
      </c>
      <c r="J274" s="282">
        <f t="shared" si="48"/>
        <v>0</v>
      </c>
      <c r="K274" s="282">
        <f t="shared" si="48"/>
        <v>0</v>
      </c>
      <c r="L274" s="31">
        <v>0</v>
      </c>
      <c r="M274" s="31"/>
      <c r="N274" s="410"/>
      <c r="O274" s="196"/>
    </row>
    <row r="275" spans="1:18" ht="28.5" hidden="1" customHeight="1" x14ac:dyDescent="0.25">
      <c r="A275" s="174"/>
      <c r="B275" s="174"/>
      <c r="C275" s="174"/>
      <c r="D275" s="174"/>
      <c r="E275" s="171"/>
      <c r="F275" s="38" t="s">
        <v>315</v>
      </c>
      <c r="G275" s="181" t="s">
        <v>448</v>
      </c>
      <c r="H275" s="38" t="s">
        <v>454</v>
      </c>
      <c r="I275" s="282">
        <v>0</v>
      </c>
      <c r="J275" s="282">
        <f>K275-I275</f>
        <v>0</v>
      </c>
      <c r="K275" s="282">
        <v>0</v>
      </c>
      <c r="L275" s="31">
        <v>0</v>
      </c>
      <c r="M275" s="31"/>
      <c r="N275" s="410"/>
      <c r="O275" s="196"/>
    </row>
    <row r="276" spans="1:18" ht="32.25" hidden="1" customHeight="1" x14ac:dyDescent="0.25">
      <c r="A276" s="172"/>
      <c r="B276" s="172"/>
      <c r="C276" s="172"/>
      <c r="D276" s="172"/>
      <c r="E276" s="172"/>
      <c r="F276" s="42"/>
      <c r="G276" s="211"/>
      <c r="H276" s="216" t="s">
        <v>443</v>
      </c>
      <c r="I276" s="283"/>
      <c r="J276" s="283"/>
      <c r="K276" s="283"/>
      <c r="L276" s="47"/>
      <c r="M276" s="47"/>
      <c r="N276" s="410"/>
      <c r="O276" s="196"/>
    </row>
    <row r="277" spans="1:18" ht="20.100000000000001" hidden="1" customHeight="1" x14ac:dyDescent="0.25">
      <c r="A277" s="172">
        <v>3</v>
      </c>
      <c r="B277" s="172"/>
      <c r="C277" s="172"/>
      <c r="D277" s="172"/>
      <c r="E277" s="172"/>
      <c r="F277" s="42"/>
      <c r="G277" s="211"/>
      <c r="H277" s="43" t="s">
        <v>81</v>
      </c>
      <c r="I277" s="281">
        <f t="shared" ref="I277:M281" si="49">I278</f>
        <v>0</v>
      </c>
      <c r="J277" s="281">
        <f t="shared" si="49"/>
        <v>0</v>
      </c>
      <c r="K277" s="281">
        <f t="shared" si="49"/>
        <v>0</v>
      </c>
      <c r="L277" s="31">
        <f t="shared" si="49"/>
        <v>25000</v>
      </c>
      <c r="M277" s="31">
        <f t="shared" si="49"/>
        <v>25000</v>
      </c>
      <c r="N277" s="410"/>
      <c r="O277" s="196"/>
    </row>
    <row r="278" spans="1:18" ht="20.100000000000001" hidden="1" customHeight="1" x14ac:dyDescent="0.25">
      <c r="A278" s="172"/>
      <c r="B278" s="172">
        <v>32</v>
      </c>
      <c r="C278" s="172"/>
      <c r="D278" s="172"/>
      <c r="E278" s="172"/>
      <c r="F278" s="42"/>
      <c r="G278" s="211"/>
      <c r="H278" s="43" t="s">
        <v>22</v>
      </c>
      <c r="I278" s="281">
        <f t="shared" si="49"/>
        <v>0</v>
      </c>
      <c r="J278" s="281">
        <f t="shared" si="49"/>
        <v>0</v>
      </c>
      <c r="K278" s="281">
        <f t="shared" si="49"/>
        <v>0</v>
      </c>
      <c r="L278" s="31">
        <f t="shared" si="49"/>
        <v>25000</v>
      </c>
      <c r="M278" s="31">
        <f t="shared" si="49"/>
        <v>25000</v>
      </c>
      <c r="N278" s="410"/>
      <c r="O278" s="196"/>
    </row>
    <row r="279" spans="1:18" s="154" customFormat="1" ht="27" hidden="1" customHeight="1" x14ac:dyDescent="0.25">
      <c r="A279" s="176"/>
      <c r="B279" s="176"/>
      <c r="C279" s="172">
        <v>324</v>
      </c>
      <c r="D279" s="172"/>
      <c r="E279" s="172"/>
      <c r="F279" s="42"/>
      <c r="G279" s="181"/>
      <c r="H279" s="43" t="s">
        <v>43</v>
      </c>
      <c r="I279" s="281">
        <f t="shared" si="49"/>
        <v>0</v>
      </c>
      <c r="J279" s="281">
        <f t="shared" si="49"/>
        <v>0</v>
      </c>
      <c r="K279" s="281">
        <f t="shared" si="49"/>
        <v>0</v>
      </c>
      <c r="L279" s="148">
        <f t="shared" si="49"/>
        <v>25000</v>
      </c>
      <c r="M279" s="148">
        <f t="shared" si="49"/>
        <v>25000</v>
      </c>
      <c r="N279" s="410"/>
      <c r="O279" s="196"/>
      <c r="P279" s="411"/>
      <c r="Q279" s="153"/>
      <c r="R279" s="153"/>
    </row>
    <row r="280" spans="1:18" ht="31.5" hidden="1" customHeight="1" x14ac:dyDescent="0.25">
      <c r="A280" s="174"/>
      <c r="B280" s="174"/>
      <c r="C280" s="174"/>
      <c r="D280" s="174">
        <v>3241</v>
      </c>
      <c r="E280" s="174"/>
      <c r="F280" s="44"/>
      <c r="G280" s="181">
        <v>49</v>
      </c>
      <c r="H280" s="38" t="s">
        <v>43</v>
      </c>
      <c r="I280" s="282">
        <f t="shared" si="49"/>
        <v>0</v>
      </c>
      <c r="J280" s="282">
        <f t="shared" si="49"/>
        <v>0</v>
      </c>
      <c r="K280" s="282">
        <f t="shared" si="49"/>
        <v>0</v>
      </c>
      <c r="L280" s="39">
        <f t="shared" si="49"/>
        <v>25000</v>
      </c>
      <c r="M280" s="39">
        <f t="shared" si="49"/>
        <v>25000</v>
      </c>
      <c r="N280" s="410"/>
      <c r="O280" s="196"/>
    </row>
    <row r="281" spans="1:18" ht="27" hidden="1" customHeight="1" x14ac:dyDescent="0.25">
      <c r="A281" s="174"/>
      <c r="B281" s="174"/>
      <c r="C281" s="174"/>
      <c r="D281" s="174"/>
      <c r="E281" s="171" t="s">
        <v>243</v>
      </c>
      <c r="F281" s="38"/>
      <c r="G281" s="181">
        <v>49</v>
      </c>
      <c r="H281" s="38" t="s">
        <v>43</v>
      </c>
      <c r="I281" s="282">
        <f t="shared" si="49"/>
        <v>0</v>
      </c>
      <c r="J281" s="282">
        <f t="shared" si="49"/>
        <v>0</v>
      </c>
      <c r="K281" s="282">
        <f t="shared" si="49"/>
        <v>0</v>
      </c>
      <c r="L281" s="34">
        <f>L282</f>
        <v>25000</v>
      </c>
      <c r="M281" s="34">
        <f>M282</f>
        <v>25000</v>
      </c>
      <c r="N281" s="410"/>
      <c r="O281" s="196"/>
    </row>
    <row r="282" spans="1:18" ht="35.25" hidden="1" customHeight="1" x14ac:dyDescent="0.25">
      <c r="A282" s="174"/>
      <c r="B282" s="174"/>
      <c r="C282" s="174"/>
      <c r="D282" s="174"/>
      <c r="E282" s="171"/>
      <c r="F282" s="38" t="s">
        <v>245</v>
      </c>
      <c r="G282" s="181">
        <v>49</v>
      </c>
      <c r="H282" s="38" t="s">
        <v>43</v>
      </c>
      <c r="I282" s="282">
        <v>0</v>
      </c>
      <c r="J282" s="282">
        <f>K282-I282</f>
        <v>0</v>
      </c>
      <c r="K282" s="282">
        <v>0</v>
      </c>
      <c r="L282" s="34">
        <v>25000</v>
      </c>
      <c r="M282" s="34">
        <v>25000</v>
      </c>
      <c r="N282" s="410"/>
      <c r="O282" s="196"/>
    </row>
    <row r="283" spans="1:18" ht="28.5" hidden="1" customHeight="1" x14ac:dyDescent="0.25">
      <c r="A283" s="217"/>
      <c r="B283" s="217"/>
      <c r="C283" s="217"/>
      <c r="D283" s="217"/>
      <c r="E283" s="217"/>
      <c r="F283" s="216"/>
      <c r="G283" s="218"/>
      <c r="H283" s="216" t="s">
        <v>444</v>
      </c>
      <c r="I283" s="283"/>
      <c r="J283" s="283"/>
      <c r="K283" s="283"/>
      <c r="L283" s="34"/>
      <c r="M283" s="34"/>
      <c r="N283" s="410"/>
      <c r="O283" s="196"/>
    </row>
    <row r="284" spans="1:18" ht="15" hidden="1" customHeight="1" x14ac:dyDescent="0.25">
      <c r="A284" s="172">
        <v>3</v>
      </c>
      <c r="B284" s="172"/>
      <c r="C284" s="172"/>
      <c r="D284" s="172"/>
      <c r="E284" s="172"/>
      <c r="F284" s="42"/>
      <c r="G284" s="211"/>
      <c r="H284" s="43" t="s">
        <v>81</v>
      </c>
      <c r="I284" s="281">
        <f t="shared" ref="I284:K288" si="50">I285</f>
        <v>0</v>
      </c>
      <c r="J284" s="281">
        <f t="shared" si="50"/>
        <v>0</v>
      </c>
      <c r="K284" s="281">
        <f t="shared" si="50"/>
        <v>0</v>
      </c>
      <c r="L284" s="34"/>
      <c r="M284" s="34"/>
      <c r="N284" s="410"/>
      <c r="O284" s="196"/>
    </row>
    <row r="285" spans="1:18" ht="35.25" hidden="1" customHeight="1" x14ac:dyDescent="0.25">
      <c r="A285" s="172"/>
      <c r="B285" s="172">
        <v>32</v>
      </c>
      <c r="C285" s="172"/>
      <c r="D285" s="172"/>
      <c r="E285" s="172"/>
      <c r="F285" s="42"/>
      <c r="G285" s="211"/>
      <c r="H285" s="43" t="s">
        <v>22</v>
      </c>
      <c r="I285" s="281">
        <f t="shared" si="50"/>
        <v>0</v>
      </c>
      <c r="J285" s="281">
        <f t="shared" si="50"/>
        <v>0</v>
      </c>
      <c r="K285" s="281">
        <f t="shared" si="50"/>
        <v>0</v>
      </c>
      <c r="L285" s="34"/>
      <c r="M285" s="34"/>
      <c r="N285" s="410"/>
      <c r="O285" s="196"/>
    </row>
    <row r="286" spans="1:18" s="154" customFormat="1" ht="35.25" hidden="1" customHeight="1" x14ac:dyDescent="0.25">
      <c r="A286" s="176"/>
      <c r="B286" s="176"/>
      <c r="C286" s="172">
        <v>324</v>
      </c>
      <c r="D286" s="172"/>
      <c r="E286" s="172"/>
      <c r="F286" s="42"/>
      <c r="G286" s="181"/>
      <c r="H286" s="43" t="s">
        <v>43</v>
      </c>
      <c r="I286" s="281">
        <f t="shared" si="50"/>
        <v>0</v>
      </c>
      <c r="J286" s="281">
        <f t="shared" si="50"/>
        <v>0</v>
      </c>
      <c r="K286" s="281">
        <f t="shared" si="50"/>
        <v>0</v>
      </c>
      <c r="L286" s="158"/>
      <c r="M286" s="158"/>
      <c r="N286" s="410"/>
      <c r="O286" s="196"/>
      <c r="P286" s="411"/>
      <c r="Q286" s="153"/>
      <c r="R286" s="159"/>
    </row>
    <row r="287" spans="1:18" ht="35.25" hidden="1" customHeight="1" x14ac:dyDescent="0.25">
      <c r="A287" s="174"/>
      <c r="B287" s="174"/>
      <c r="C287" s="174"/>
      <c r="D287" s="174">
        <v>3241</v>
      </c>
      <c r="E287" s="174"/>
      <c r="F287" s="44"/>
      <c r="G287" s="181">
        <v>49</v>
      </c>
      <c r="H287" s="38" t="s">
        <v>43</v>
      </c>
      <c r="I287" s="282">
        <f t="shared" si="50"/>
        <v>0</v>
      </c>
      <c r="J287" s="282">
        <f t="shared" si="50"/>
        <v>0</v>
      </c>
      <c r="K287" s="282">
        <f t="shared" si="50"/>
        <v>0</v>
      </c>
      <c r="L287" s="34"/>
      <c r="M287" s="34"/>
      <c r="N287" s="410"/>
      <c r="O287" s="196"/>
    </row>
    <row r="288" spans="1:18" ht="35.25" hidden="1" customHeight="1" x14ac:dyDescent="0.25">
      <c r="A288" s="174"/>
      <c r="B288" s="174"/>
      <c r="C288" s="174"/>
      <c r="D288" s="174"/>
      <c r="E288" s="171" t="s">
        <v>243</v>
      </c>
      <c r="F288" s="38"/>
      <c r="G288" s="181">
        <v>49</v>
      </c>
      <c r="H288" s="38" t="s">
        <v>43</v>
      </c>
      <c r="I288" s="282">
        <f t="shared" si="50"/>
        <v>0</v>
      </c>
      <c r="J288" s="282">
        <f t="shared" si="50"/>
        <v>0</v>
      </c>
      <c r="K288" s="282">
        <f t="shared" si="50"/>
        <v>0</v>
      </c>
      <c r="L288" s="34"/>
      <c r="M288" s="34"/>
      <c r="N288" s="410"/>
      <c r="O288" s="196"/>
    </row>
    <row r="289" spans="1:18" ht="35.25" hidden="1" customHeight="1" x14ac:dyDescent="0.25">
      <c r="A289" s="174"/>
      <c r="B289" s="174"/>
      <c r="C289" s="174"/>
      <c r="D289" s="174"/>
      <c r="E289" s="171"/>
      <c r="F289" s="38" t="s">
        <v>245</v>
      </c>
      <c r="G289" s="181">
        <v>49</v>
      </c>
      <c r="H289" s="38" t="s">
        <v>43</v>
      </c>
      <c r="I289" s="282">
        <v>0</v>
      </c>
      <c r="J289" s="282">
        <f>K289-I289</f>
        <v>0</v>
      </c>
      <c r="K289" s="282">
        <v>0</v>
      </c>
      <c r="L289" s="34"/>
      <c r="M289" s="34"/>
      <c r="N289" s="410"/>
      <c r="O289" s="196"/>
    </row>
    <row r="290" spans="1:18" s="268" customFormat="1" ht="30" customHeight="1" x14ac:dyDescent="0.25">
      <c r="A290" s="434"/>
      <c r="B290" s="434"/>
      <c r="C290" s="434"/>
      <c r="D290" s="434"/>
      <c r="E290" s="434"/>
      <c r="F290" s="435"/>
      <c r="G290" s="436"/>
      <c r="H290" s="437" t="s">
        <v>289</v>
      </c>
      <c r="I290" s="438"/>
      <c r="J290" s="438"/>
      <c r="K290" s="438"/>
      <c r="L290" s="33"/>
      <c r="M290" s="33"/>
      <c r="N290" s="410"/>
      <c r="O290" s="196"/>
      <c r="P290" s="411"/>
      <c r="Q290" s="35"/>
    </row>
    <row r="291" spans="1:18" s="21" customFormat="1" ht="20.100000000000001" customHeight="1" x14ac:dyDescent="0.25">
      <c r="A291" s="172">
        <v>3</v>
      </c>
      <c r="B291" s="172"/>
      <c r="C291" s="172"/>
      <c r="D291" s="172"/>
      <c r="E291" s="172"/>
      <c r="F291" s="42"/>
      <c r="G291" s="181"/>
      <c r="H291" s="43" t="s">
        <v>81</v>
      </c>
      <c r="I291" s="281">
        <f>I292+I335+I501+I511+I516</f>
        <v>1295592.46</v>
      </c>
      <c r="J291" s="281">
        <f>J292+J335+J501+J511+J516</f>
        <v>0.23999999999796273</v>
      </c>
      <c r="K291" s="281">
        <f>K292+K335+K501+K511+K516</f>
        <v>1295592.7</v>
      </c>
      <c r="L291" s="31">
        <f>L292+L335+L501+L516</f>
        <v>5714100</v>
      </c>
      <c r="M291" s="31">
        <f>M292+M335+M501+M516</f>
        <v>5699100</v>
      </c>
      <c r="N291" s="410"/>
      <c r="O291" s="196"/>
      <c r="P291" s="270"/>
      <c r="Q291" s="20"/>
      <c r="R291" s="20"/>
    </row>
    <row r="292" spans="1:18" s="21" customFormat="1" ht="20.100000000000001" customHeight="1" x14ac:dyDescent="0.25">
      <c r="A292" s="172"/>
      <c r="B292" s="172">
        <v>31</v>
      </c>
      <c r="C292" s="172"/>
      <c r="D292" s="172"/>
      <c r="E292" s="172"/>
      <c r="F292" s="42"/>
      <c r="G292" s="181" t="s">
        <v>466</v>
      </c>
      <c r="H292" s="43" t="s">
        <v>13</v>
      </c>
      <c r="I292" s="281">
        <v>457200</v>
      </c>
      <c r="J292" s="281">
        <f>J293+J310+J324-J523-J524</f>
        <v>-3500</v>
      </c>
      <c r="K292" s="281">
        <v>453700</v>
      </c>
      <c r="L292" s="31">
        <f>L293+L310+L324</f>
        <v>2855482</v>
      </c>
      <c r="M292" s="31">
        <f>M293+M310+M324</f>
        <v>2860682</v>
      </c>
      <c r="N292" s="410"/>
      <c r="O292" s="196"/>
      <c r="P292" s="274"/>
      <c r="Q292" s="48"/>
      <c r="R292" s="20"/>
    </row>
    <row r="293" spans="1:18" s="150" customFormat="1" ht="20.100000000000001" hidden="1" customHeight="1" x14ac:dyDescent="0.25">
      <c r="A293" s="176"/>
      <c r="B293" s="176"/>
      <c r="C293" s="172">
        <v>311</v>
      </c>
      <c r="D293" s="172"/>
      <c r="E293" s="172"/>
      <c r="F293" s="42"/>
      <c r="G293" s="181" t="s">
        <v>466</v>
      </c>
      <c r="H293" s="43" t="s">
        <v>13</v>
      </c>
      <c r="I293" s="281">
        <f>I294+I302+I305</f>
        <v>363577.77</v>
      </c>
      <c r="J293" s="281">
        <f>J294+J302+J305</f>
        <v>36000</v>
      </c>
      <c r="K293" s="281">
        <f>K294+K302+K305</f>
        <v>399577.77</v>
      </c>
      <c r="L293" s="148">
        <f>L294+L302+L305</f>
        <v>1965950</v>
      </c>
      <c r="M293" s="148">
        <f>M294+M302+M305</f>
        <v>1970350</v>
      </c>
      <c r="N293" s="410"/>
      <c r="O293" s="196"/>
      <c r="P293" s="270"/>
      <c r="Q293" s="149"/>
      <c r="R293" s="149"/>
    </row>
    <row r="294" spans="1:18" ht="20.100000000000001" hidden="1" customHeight="1" x14ac:dyDescent="0.25">
      <c r="A294" s="174"/>
      <c r="B294" s="174"/>
      <c r="C294" s="174"/>
      <c r="D294" s="174">
        <v>3111</v>
      </c>
      <c r="E294" s="174"/>
      <c r="F294" s="44"/>
      <c r="G294" s="181" t="s">
        <v>466</v>
      </c>
      <c r="H294" s="43" t="s">
        <v>13</v>
      </c>
      <c r="I294" s="282">
        <f t="shared" ref="I294:M295" si="51">I295</f>
        <v>311920</v>
      </c>
      <c r="J294" s="282">
        <f t="shared" si="51"/>
        <v>36000</v>
      </c>
      <c r="K294" s="282">
        <f t="shared" si="51"/>
        <v>347920</v>
      </c>
      <c r="L294" s="34">
        <f t="shared" si="51"/>
        <v>1582250</v>
      </c>
      <c r="M294" s="34">
        <f t="shared" si="51"/>
        <v>1586650</v>
      </c>
      <c r="N294" s="410"/>
      <c r="O294" s="196"/>
    </row>
    <row r="295" spans="1:18" ht="20.100000000000001" hidden="1" customHeight="1" x14ac:dyDescent="0.25">
      <c r="A295" s="174"/>
      <c r="B295" s="174"/>
      <c r="C295" s="174"/>
      <c r="D295" s="174"/>
      <c r="E295" s="171" t="s">
        <v>290</v>
      </c>
      <c r="F295" s="38"/>
      <c r="G295" s="181" t="s">
        <v>466</v>
      </c>
      <c r="H295" s="43" t="s">
        <v>13</v>
      </c>
      <c r="I295" s="282">
        <f>I296+I297+I298+I299+I300+I301</f>
        <v>311920</v>
      </c>
      <c r="J295" s="282">
        <f>J296+J297+J298+J299+J300+J301</f>
        <v>36000</v>
      </c>
      <c r="K295" s="282">
        <f>K296+K297+K298+K299+K300+K301</f>
        <v>347920</v>
      </c>
      <c r="L295" s="34">
        <f t="shared" si="51"/>
        <v>1582250</v>
      </c>
      <c r="M295" s="34">
        <f t="shared" si="51"/>
        <v>1586650</v>
      </c>
      <c r="N295" s="410"/>
      <c r="O295" s="196"/>
    </row>
    <row r="296" spans="1:18" s="50" customFormat="1" ht="20.100000000000001" hidden="1" customHeight="1" x14ac:dyDescent="0.25">
      <c r="A296" s="174"/>
      <c r="B296" s="174"/>
      <c r="C296" s="174"/>
      <c r="D296" s="174"/>
      <c r="E296" s="171"/>
      <c r="F296" s="370" t="s">
        <v>292</v>
      </c>
      <c r="G296" s="181" t="s">
        <v>466</v>
      </c>
      <c r="H296" s="43" t="s">
        <v>13</v>
      </c>
      <c r="I296" s="282">
        <v>286800</v>
      </c>
      <c r="J296" s="282">
        <f t="shared" ref="J296:J301" si="52">K296-I296</f>
        <v>0</v>
      </c>
      <c r="K296" s="282">
        <v>286800</v>
      </c>
      <c r="L296" s="49">
        <v>1582250</v>
      </c>
      <c r="M296" s="49">
        <v>1586650</v>
      </c>
      <c r="N296" s="410"/>
      <c r="O296" s="196"/>
      <c r="P296" s="275"/>
    </row>
    <row r="297" spans="1:18" s="50" customFormat="1" ht="20.100000000000001" hidden="1" customHeight="1" x14ac:dyDescent="0.25">
      <c r="A297" s="174"/>
      <c r="B297" s="174"/>
      <c r="C297" s="174"/>
      <c r="D297" s="174"/>
      <c r="E297" s="171"/>
      <c r="F297" s="370" t="s">
        <v>292</v>
      </c>
      <c r="G297" s="181" t="s">
        <v>448</v>
      </c>
      <c r="H297" s="43" t="s">
        <v>13</v>
      </c>
      <c r="I297" s="282">
        <v>9320</v>
      </c>
      <c r="J297" s="282">
        <f t="shared" si="52"/>
        <v>0</v>
      </c>
      <c r="K297" s="282">
        <v>9320</v>
      </c>
      <c r="L297" s="49"/>
      <c r="M297" s="49"/>
      <c r="N297" s="410"/>
      <c r="O297" s="196"/>
      <c r="P297" s="275"/>
    </row>
    <row r="298" spans="1:18" s="50" customFormat="1" ht="20.100000000000001" hidden="1" customHeight="1" x14ac:dyDescent="0.25">
      <c r="A298" s="174"/>
      <c r="B298" s="174"/>
      <c r="C298" s="174"/>
      <c r="D298" s="174"/>
      <c r="E298" s="171"/>
      <c r="F298" s="370" t="s">
        <v>292</v>
      </c>
      <c r="G298" s="181" t="s">
        <v>502</v>
      </c>
      <c r="H298" s="43" t="s">
        <v>13</v>
      </c>
      <c r="I298" s="282">
        <v>1600</v>
      </c>
      <c r="J298" s="282">
        <f t="shared" si="52"/>
        <v>0</v>
      </c>
      <c r="K298" s="282">
        <v>1600</v>
      </c>
      <c r="L298" s="49"/>
      <c r="M298" s="49"/>
      <c r="N298" s="410"/>
      <c r="O298" s="196"/>
      <c r="P298" s="275"/>
    </row>
    <row r="299" spans="1:18" s="50" customFormat="1" ht="20.100000000000001" hidden="1" customHeight="1" x14ac:dyDescent="0.25">
      <c r="A299" s="174"/>
      <c r="B299" s="174"/>
      <c r="C299" s="174"/>
      <c r="D299" s="174"/>
      <c r="E299" s="171"/>
      <c r="F299" s="38" t="s">
        <v>449</v>
      </c>
      <c r="G299" s="181" t="s">
        <v>466</v>
      </c>
      <c r="H299" s="43" t="s">
        <v>13</v>
      </c>
      <c r="I299" s="282">
        <v>10300</v>
      </c>
      <c r="J299" s="282">
        <f t="shared" si="52"/>
        <v>0</v>
      </c>
      <c r="K299" s="282">
        <v>10300</v>
      </c>
      <c r="L299" s="49"/>
      <c r="M299" s="49"/>
      <c r="N299" s="410"/>
      <c r="O299" s="196"/>
      <c r="P299" s="275"/>
    </row>
    <row r="300" spans="1:18" s="50" customFormat="1" ht="20.100000000000001" hidden="1" customHeight="1" x14ac:dyDescent="0.25">
      <c r="A300" s="174"/>
      <c r="B300" s="174"/>
      <c r="C300" s="174"/>
      <c r="D300" s="174"/>
      <c r="E300" s="171"/>
      <c r="F300" s="38" t="s">
        <v>495</v>
      </c>
      <c r="G300" s="181" t="s">
        <v>466</v>
      </c>
      <c r="H300" s="43" t="s">
        <v>13</v>
      </c>
      <c r="I300" s="282">
        <v>3900</v>
      </c>
      <c r="J300" s="282">
        <f t="shared" si="52"/>
        <v>0</v>
      </c>
      <c r="K300" s="282">
        <v>3900</v>
      </c>
      <c r="L300" s="49"/>
      <c r="M300" s="49"/>
      <c r="N300" s="410"/>
      <c r="O300" s="196"/>
      <c r="P300" s="275"/>
    </row>
    <row r="301" spans="1:18" s="50" customFormat="1" ht="20.100000000000001" hidden="1" customHeight="1" x14ac:dyDescent="0.25">
      <c r="A301" s="174"/>
      <c r="B301" s="174"/>
      <c r="C301" s="174"/>
      <c r="D301" s="174"/>
      <c r="E301" s="171"/>
      <c r="F301" s="400" t="s">
        <v>544</v>
      </c>
      <c r="G301" s="399" t="s">
        <v>448</v>
      </c>
      <c r="H301" s="43" t="s">
        <v>13</v>
      </c>
      <c r="I301" s="401">
        <v>0</v>
      </c>
      <c r="J301" s="401">
        <f t="shared" si="52"/>
        <v>36000</v>
      </c>
      <c r="K301" s="401">
        <f>9200+26800</f>
        <v>36000</v>
      </c>
      <c r="L301" s="49"/>
      <c r="M301" s="49"/>
      <c r="N301" s="410"/>
      <c r="O301" s="196"/>
      <c r="P301" s="275"/>
    </row>
    <row r="302" spans="1:18" ht="20.100000000000001" hidden="1" customHeight="1" x14ac:dyDescent="0.25">
      <c r="A302" s="174"/>
      <c r="B302" s="174"/>
      <c r="C302" s="174"/>
      <c r="D302" s="174">
        <v>3113</v>
      </c>
      <c r="E302" s="174"/>
      <c r="F302" s="44"/>
      <c r="G302" s="181" t="s">
        <v>466</v>
      </c>
      <c r="H302" s="43" t="s">
        <v>13</v>
      </c>
      <c r="I302" s="282">
        <f t="shared" ref="I302:M303" si="53">I303</f>
        <v>11357.77</v>
      </c>
      <c r="J302" s="282">
        <f t="shared" si="53"/>
        <v>0</v>
      </c>
      <c r="K302" s="282">
        <f t="shared" si="53"/>
        <v>11357.77</v>
      </c>
      <c r="L302" s="34">
        <f t="shared" si="53"/>
        <v>4400</v>
      </c>
      <c r="M302" s="34">
        <f t="shared" si="53"/>
        <v>4400</v>
      </c>
      <c r="N302" s="410"/>
      <c r="O302" s="196"/>
      <c r="P302" s="68"/>
    </row>
    <row r="303" spans="1:18" ht="20.100000000000001" hidden="1" customHeight="1" x14ac:dyDescent="0.25">
      <c r="A303" s="174"/>
      <c r="B303" s="174"/>
      <c r="C303" s="174"/>
      <c r="D303" s="174"/>
      <c r="E303" s="171" t="s">
        <v>293</v>
      </c>
      <c r="F303" s="38"/>
      <c r="G303" s="181" t="s">
        <v>466</v>
      </c>
      <c r="H303" s="43" t="s">
        <v>13</v>
      </c>
      <c r="I303" s="282">
        <f t="shared" si="53"/>
        <v>11357.77</v>
      </c>
      <c r="J303" s="282">
        <f t="shared" si="53"/>
        <v>0</v>
      </c>
      <c r="K303" s="282">
        <f t="shared" si="53"/>
        <v>11357.77</v>
      </c>
      <c r="L303" s="34">
        <f t="shared" si="53"/>
        <v>4400</v>
      </c>
      <c r="M303" s="34">
        <f t="shared" si="53"/>
        <v>4400</v>
      </c>
      <c r="N303" s="410"/>
      <c r="O303" s="196"/>
    </row>
    <row r="304" spans="1:18" ht="20.100000000000001" hidden="1" customHeight="1" x14ac:dyDescent="0.25">
      <c r="A304" s="174"/>
      <c r="B304" s="174"/>
      <c r="C304" s="174"/>
      <c r="D304" s="174"/>
      <c r="E304" s="171"/>
      <c r="F304" s="38" t="s">
        <v>294</v>
      </c>
      <c r="G304" s="181" t="s">
        <v>466</v>
      </c>
      <c r="H304" s="43" t="s">
        <v>13</v>
      </c>
      <c r="I304" s="282">
        <f>7500+1357.77+2000+500</f>
        <v>11357.77</v>
      </c>
      <c r="J304" s="282">
        <f>K304-I304</f>
        <v>0</v>
      </c>
      <c r="K304" s="282">
        <f>7500+1357.77+2000+500</f>
        <v>11357.77</v>
      </c>
      <c r="L304" s="34">
        <v>4400</v>
      </c>
      <c r="M304" s="34">
        <v>4400</v>
      </c>
      <c r="N304" s="410"/>
      <c r="O304" s="196"/>
    </row>
    <row r="305" spans="1:18" ht="20.100000000000001" hidden="1" customHeight="1" x14ac:dyDescent="0.25">
      <c r="A305" s="174"/>
      <c r="B305" s="174"/>
      <c r="C305" s="174"/>
      <c r="D305" s="174">
        <v>3114</v>
      </c>
      <c r="E305" s="174"/>
      <c r="F305" s="44"/>
      <c r="G305" s="181" t="s">
        <v>466</v>
      </c>
      <c r="H305" s="43" t="s">
        <v>13</v>
      </c>
      <c r="I305" s="282">
        <f t="shared" ref="I305:M306" si="54">I306</f>
        <v>40300</v>
      </c>
      <c r="J305" s="282">
        <f t="shared" si="54"/>
        <v>0</v>
      </c>
      <c r="K305" s="282">
        <f t="shared" si="54"/>
        <v>40300</v>
      </c>
      <c r="L305" s="34">
        <f t="shared" si="54"/>
        <v>379300</v>
      </c>
      <c r="M305" s="34">
        <f t="shared" si="54"/>
        <v>379300</v>
      </c>
      <c r="N305" s="410"/>
      <c r="O305" s="196"/>
      <c r="P305" s="276"/>
      <c r="Q305" s="37"/>
    </row>
    <row r="306" spans="1:18" ht="20.100000000000001" hidden="1" customHeight="1" x14ac:dyDescent="0.25">
      <c r="A306" s="174"/>
      <c r="B306" s="174"/>
      <c r="C306" s="174"/>
      <c r="D306" s="174"/>
      <c r="E306" s="171" t="s">
        <v>295</v>
      </c>
      <c r="F306" s="38"/>
      <c r="G306" s="181" t="s">
        <v>466</v>
      </c>
      <c r="H306" s="43" t="s">
        <v>13</v>
      </c>
      <c r="I306" s="282">
        <f>I307+I309+I308</f>
        <v>40300</v>
      </c>
      <c r="J306" s="282">
        <f>J307+J309+J308</f>
        <v>0</v>
      </c>
      <c r="K306" s="282">
        <f>K307+K309+K308</f>
        <v>40300</v>
      </c>
      <c r="L306" s="34">
        <f t="shared" si="54"/>
        <v>379300</v>
      </c>
      <c r="M306" s="34">
        <f t="shared" si="54"/>
        <v>379300</v>
      </c>
      <c r="N306" s="410"/>
      <c r="O306" s="196"/>
    </row>
    <row r="307" spans="1:18" ht="20.100000000000001" hidden="1" customHeight="1" x14ac:dyDescent="0.25">
      <c r="A307" s="174"/>
      <c r="B307" s="174"/>
      <c r="C307" s="174"/>
      <c r="D307" s="174"/>
      <c r="E307" s="171"/>
      <c r="F307" s="38" t="s">
        <v>296</v>
      </c>
      <c r="G307" s="181" t="s">
        <v>466</v>
      </c>
      <c r="H307" s="43" t="s">
        <v>13</v>
      </c>
      <c r="I307" s="282">
        <v>39500</v>
      </c>
      <c r="J307" s="282">
        <f>K307-I307</f>
        <v>0</v>
      </c>
      <c r="K307" s="282">
        <v>39500</v>
      </c>
      <c r="L307" s="34">
        <v>379300</v>
      </c>
      <c r="M307" s="34">
        <v>379300</v>
      </c>
      <c r="N307" s="410"/>
      <c r="O307" s="196"/>
    </row>
    <row r="308" spans="1:18" ht="20.100000000000001" hidden="1" customHeight="1" x14ac:dyDescent="0.25">
      <c r="A308" s="174"/>
      <c r="B308" s="174"/>
      <c r="C308" s="174"/>
      <c r="D308" s="174"/>
      <c r="E308" s="171"/>
      <c r="F308" s="38" t="s">
        <v>296</v>
      </c>
      <c r="G308" s="181" t="s">
        <v>448</v>
      </c>
      <c r="H308" s="43" t="s">
        <v>13</v>
      </c>
      <c r="I308" s="282">
        <v>800</v>
      </c>
      <c r="J308" s="282">
        <f>K308-I308</f>
        <v>0</v>
      </c>
      <c r="K308" s="282">
        <v>800</v>
      </c>
      <c r="L308" s="34"/>
      <c r="M308" s="34"/>
      <c r="N308" s="410"/>
      <c r="O308" s="196"/>
    </row>
    <row r="309" spans="1:18" ht="20.100000000000001" hidden="1" customHeight="1" x14ac:dyDescent="0.25">
      <c r="A309" s="174"/>
      <c r="B309" s="174"/>
      <c r="C309" s="174"/>
      <c r="D309" s="174"/>
      <c r="E309" s="171"/>
      <c r="F309" s="38" t="s">
        <v>496</v>
      </c>
      <c r="G309" s="181" t="s">
        <v>466</v>
      </c>
      <c r="H309" s="43" t="s">
        <v>13</v>
      </c>
      <c r="I309" s="282">
        <v>0</v>
      </c>
      <c r="J309" s="282">
        <f>K309-I309</f>
        <v>0</v>
      </c>
      <c r="K309" s="282">
        <v>0</v>
      </c>
      <c r="L309" s="34"/>
      <c r="M309" s="34"/>
      <c r="N309" s="410"/>
      <c r="O309" s="196"/>
    </row>
    <row r="310" spans="1:18" s="150" customFormat="1" ht="20.100000000000001" hidden="1" customHeight="1" x14ac:dyDescent="0.25">
      <c r="A310" s="176"/>
      <c r="B310" s="176"/>
      <c r="C310" s="172">
        <v>312</v>
      </c>
      <c r="D310" s="172"/>
      <c r="E310" s="172"/>
      <c r="F310" s="42"/>
      <c r="G310" s="181" t="s">
        <v>466</v>
      </c>
      <c r="H310" s="43" t="s">
        <v>13</v>
      </c>
      <c r="I310" s="281">
        <f>I311</f>
        <v>33642</v>
      </c>
      <c r="J310" s="281">
        <f>J311</f>
        <v>0</v>
      </c>
      <c r="K310" s="281">
        <f>K311</f>
        <v>33642</v>
      </c>
      <c r="L310" s="148">
        <f>L311</f>
        <v>215900</v>
      </c>
      <c r="M310" s="148">
        <f>M311</f>
        <v>215900</v>
      </c>
      <c r="N310" s="410"/>
      <c r="O310" s="196"/>
      <c r="P310" s="270"/>
      <c r="Q310" s="149"/>
      <c r="R310" s="149"/>
    </row>
    <row r="311" spans="1:18" ht="20.100000000000001" hidden="1" customHeight="1" x14ac:dyDescent="0.25">
      <c r="A311" s="174"/>
      <c r="B311" s="174"/>
      <c r="C311" s="174"/>
      <c r="D311" s="174">
        <v>3121</v>
      </c>
      <c r="E311" s="174"/>
      <c r="F311" s="44"/>
      <c r="G311" s="181" t="s">
        <v>466</v>
      </c>
      <c r="H311" s="43" t="s">
        <v>13</v>
      </c>
      <c r="I311" s="282">
        <f>I312+I314+I316+I318+I322+I320</f>
        <v>33642</v>
      </c>
      <c r="J311" s="282">
        <f>J312+J314+J316+J318+J322+J320</f>
        <v>0</v>
      </c>
      <c r="K311" s="282">
        <f>K312+K314+K316+K318+K322+K320</f>
        <v>33642</v>
      </c>
      <c r="L311" s="34">
        <f>L312+L314+L316+L318+L320+L322</f>
        <v>215900</v>
      </c>
      <c r="M311" s="34">
        <f>M312+M314+M316+M318+M320+M322</f>
        <v>215900</v>
      </c>
      <c r="N311" s="410"/>
      <c r="O311" s="196"/>
    </row>
    <row r="312" spans="1:18" ht="20.100000000000001" hidden="1" customHeight="1" x14ac:dyDescent="0.25">
      <c r="A312" s="174"/>
      <c r="B312" s="174"/>
      <c r="C312" s="174"/>
      <c r="D312" s="174"/>
      <c r="E312" s="171" t="s">
        <v>84</v>
      </c>
      <c r="F312" s="38"/>
      <c r="G312" s="181" t="s">
        <v>466</v>
      </c>
      <c r="H312" s="43" t="s">
        <v>13</v>
      </c>
      <c r="I312" s="282">
        <f>I313</f>
        <v>4800</v>
      </c>
      <c r="J312" s="282">
        <f>J313</f>
        <v>0</v>
      </c>
      <c r="K312" s="282">
        <f>K313</f>
        <v>4800</v>
      </c>
      <c r="L312" s="34">
        <f>L313</f>
        <v>2000</v>
      </c>
      <c r="M312" s="34">
        <f>M313</f>
        <v>2000</v>
      </c>
      <c r="N312" s="410"/>
      <c r="O312" s="196"/>
    </row>
    <row r="313" spans="1:18" ht="20.100000000000001" hidden="1" customHeight="1" x14ac:dyDescent="0.25">
      <c r="A313" s="174"/>
      <c r="B313" s="174"/>
      <c r="C313" s="174"/>
      <c r="D313" s="174"/>
      <c r="E313" s="171"/>
      <c r="F313" s="38" t="s">
        <v>86</v>
      </c>
      <c r="G313" s="181" t="s">
        <v>466</v>
      </c>
      <c r="H313" s="43" t="s">
        <v>13</v>
      </c>
      <c r="I313" s="282">
        <v>4800</v>
      </c>
      <c r="J313" s="282">
        <f>K313-I313</f>
        <v>0</v>
      </c>
      <c r="K313" s="282">
        <v>4800</v>
      </c>
      <c r="L313" s="34">
        <f>52000-50000</f>
        <v>2000</v>
      </c>
      <c r="M313" s="34">
        <f>52000-50000</f>
        <v>2000</v>
      </c>
      <c r="N313" s="410"/>
      <c r="O313" s="196"/>
    </row>
    <row r="314" spans="1:18" ht="20.100000000000001" hidden="1" customHeight="1" x14ac:dyDescent="0.25">
      <c r="A314" s="174"/>
      <c r="B314" s="174"/>
      <c r="C314" s="174"/>
      <c r="D314" s="174"/>
      <c r="E314" s="171" t="s">
        <v>87</v>
      </c>
      <c r="F314" s="38"/>
      <c r="G314" s="181" t="s">
        <v>466</v>
      </c>
      <c r="H314" s="43" t="s">
        <v>13</v>
      </c>
      <c r="I314" s="282">
        <f>I315</f>
        <v>4100</v>
      </c>
      <c r="J314" s="282">
        <f>J315</f>
        <v>0</v>
      </c>
      <c r="K314" s="282">
        <f>K315</f>
        <v>4100</v>
      </c>
      <c r="L314" s="34">
        <f>L315</f>
        <v>30000</v>
      </c>
      <c r="M314" s="34">
        <f>M315</f>
        <v>30000</v>
      </c>
      <c r="N314" s="410"/>
      <c r="O314" s="196"/>
    </row>
    <row r="315" spans="1:18" ht="20.100000000000001" hidden="1" customHeight="1" x14ac:dyDescent="0.25">
      <c r="A315" s="174"/>
      <c r="B315" s="174"/>
      <c r="C315" s="174"/>
      <c r="D315" s="174"/>
      <c r="E315" s="171"/>
      <c r="F315" s="38" t="s">
        <v>89</v>
      </c>
      <c r="G315" s="181" t="s">
        <v>466</v>
      </c>
      <c r="H315" s="43" t="s">
        <v>13</v>
      </c>
      <c r="I315" s="282">
        <v>4100</v>
      </c>
      <c r="J315" s="282">
        <f>K315-I315</f>
        <v>0</v>
      </c>
      <c r="K315" s="282">
        <v>4100</v>
      </c>
      <c r="L315" s="34">
        <v>30000</v>
      </c>
      <c r="M315" s="34">
        <v>30000</v>
      </c>
      <c r="N315" s="410"/>
      <c r="O315" s="196"/>
    </row>
    <row r="316" spans="1:18" ht="20.100000000000001" hidden="1" customHeight="1" x14ac:dyDescent="0.25">
      <c r="A316" s="174"/>
      <c r="B316" s="174"/>
      <c r="C316" s="174"/>
      <c r="D316" s="174"/>
      <c r="E316" s="171" t="s">
        <v>90</v>
      </c>
      <c r="F316" s="38"/>
      <c r="G316" s="181" t="s">
        <v>466</v>
      </c>
      <c r="H316" s="43" t="s">
        <v>13</v>
      </c>
      <c r="I316" s="282">
        <f>I317</f>
        <v>3100</v>
      </c>
      <c r="J316" s="282">
        <f>J317</f>
        <v>0</v>
      </c>
      <c r="K316" s="282">
        <f>K317</f>
        <v>3100</v>
      </c>
      <c r="L316" s="34">
        <f>L317</f>
        <v>8000</v>
      </c>
      <c r="M316" s="34">
        <f>M317</f>
        <v>8000</v>
      </c>
      <c r="N316" s="410"/>
      <c r="O316" s="196"/>
    </row>
    <row r="317" spans="1:18" ht="20.100000000000001" hidden="1" customHeight="1" x14ac:dyDescent="0.25">
      <c r="A317" s="174"/>
      <c r="B317" s="174"/>
      <c r="C317" s="174"/>
      <c r="D317" s="174"/>
      <c r="E317" s="171"/>
      <c r="F317" s="38" t="s">
        <v>92</v>
      </c>
      <c r="G317" s="181" t="s">
        <v>466</v>
      </c>
      <c r="H317" s="43" t="s">
        <v>13</v>
      </c>
      <c r="I317" s="282">
        <v>3100</v>
      </c>
      <c r="J317" s="282">
        <f>K317-I317</f>
        <v>0</v>
      </c>
      <c r="K317" s="282">
        <v>3100</v>
      </c>
      <c r="L317" s="34">
        <v>8000</v>
      </c>
      <c r="M317" s="34">
        <v>8000</v>
      </c>
      <c r="N317" s="410"/>
      <c r="O317" s="196"/>
    </row>
    <row r="318" spans="1:18" ht="20.100000000000001" hidden="1" customHeight="1" x14ac:dyDescent="0.25">
      <c r="A318" s="174"/>
      <c r="B318" s="174"/>
      <c r="C318" s="174"/>
      <c r="D318" s="174"/>
      <c r="E318" s="171" t="s">
        <v>93</v>
      </c>
      <c r="F318" s="38"/>
      <c r="G318" s="181" t="s">
        <v>466</v>
      </c>
      <c r="H318" s="43" t="s">
        <v>13</v>
      </c>
      <c r="I318" s="282">
        <f>I319</f>
        <v>3800</v>
      </c>
      <c r="J318" s="282">
        <f>J319</f>
        <v>0</v>
      </c>
      <c r="K318" s="282">
        <f>K319</f>
        <v>3800</v>
      </c>
      <c r="L318" s="34">
        <f>L319</f>
        <v>18000</v>
      </c>
      <c r="M318" s="34">
        <f>M319</f>
        <v>18000</v>
      </c>
      <c r="N318" s="410"/>
      <c r="O318" s="196"/>
    </row>
    <row r="319" spans="1:18" ht="20.100000000000001" hidden="1" customHeight="1" x14ac:dyDescent="0.25">
      <c r="A319" s="174"/>
      <c r="B319" s="174"/>
      <c r="C319" s="174"/>
      <c r="D319" s="174"/>
      <c r="E319" s="171"/>
      <c r="F319" s="38" t="s">
        <v>95</v>
      </c>
      <c r="G319" s="181" t="s">
        <v>466</v>
      </c>
      <c r="H319" s="43" t="s">
        <v>13</v>
      </c>
      <c r="I319" s="282">
        <v>3800</v>
      </c>
      <c r="J319" s="282">
        <f>K319-I319</f>
        <v>0</v>
      </c>
      <c r="K319" s="282">
        <v>3800</v>
      </c>
      <c r="L319" s="34">
        <v>18000</v>
      </c>
      <c r="M319" s="34">
        <v>18000</v>
      </c>
      <c r="N319" s="410"/>
      <c r="O319" s="196"/>
    </row>
    <row r="320" spans="1:18" ht="20.100000000000001" hidden="1" customHeight="1" x14ac:dyDescent="0.25">
      <c r="A320" s="174"/>
      <c r="B320" s="174"/>
      <c r="C320" s="174"/>
      <c r="D320" s="174"/>
      <c r="E320" s="171" t="s">
        <v>297</v>
      </c>
      <c r="F320" s="38"/>
      <c r="G320" s="181" t="s">
        <v>466</v>
      </c>
      <c r="H320" s="43" t="s">
        <v>13</v>
      </c>
      <c r="I320" s="282">
        <f>I321</f>
        <v>8300</v>
      </c>
      <c r="J320" s="282">
        <f>J321</f>
        <v>0</v>
      </c>
      <c r="K320" s="282">
        <f>K321</f>
        <v>8300</v>
      </c>
      <c r="L320" s="34">
        <f>L321</f>
        <v>80000</v>
      </c>
      <c r="M320" s="34">
        <f>M321</f>
        <v>80000</v>
      </c>
      <c r="N320" s="410"/>
      <c r="O320" s="196"/>
    </row>
    <row r="321" spans="1:18" ht="20.100000000000001" hidden="1" customHeight="1" x14ac:dyDescent="0.25">
      <c r="A321" s="174"/>
      <c r="B321" s="174"/>
      <c r="C321" s="174"/>
      <c r="D321" s="174"/>
      <c r="E321" s="171"/>
      <c r="F321" s="38" t="s">
        <v>299</v>
      </c>
      <c r="G321" s="181" t="s">
        <v>466</v>
      </c>
      <c r="H321" s="43" t="s">
        <v>13</v>
      </c>
      <c r="I321" s="282">
        <f>10300-1500-500</f>
        <v>8300</v>
      </c>
      <c r="J321" s="282">
        <f>K321-I321</f>
        <v>0</v>
      </c>
      <c r="K321" s="282">
        <f>10300-1500-500</f>
        <v>8300</v>
      </c>
      <c r="L321" s="34">
        <v>80000</v>
      </c>
      <c r="M321" s="34">
        <v>80000</v>
      </c>
      <c r="N321" s="410"/>
      <c r="O321" s="196"/>
    </row>
    <row r="322" spans="1:18" ht="20.100000000000001" hidden="1" customHeight="1" x14ac:dyDescent="0.25">
      <c r="A322" s="174"/>
      <c r="B322" s="174"/>
      <c r="C322" s="174"/>
      <c r="D322" s="174"/>
      <c r="E322" s="171" t="s">
        <v>96</v>
      </c>
      <c r="F322" s="38"/>
      <c r="G322" s="181" t="s">
        <v>466</v>
      </c>
      <c r="H322" s="43" t="s">
        <v>13</v>
      </c>
      <c r="I322" s="282">
        <f>I323</f>
        <v>9542</v>
      </c>
      <c r="J322" s="282">
        <f>J323</f>
        <v>0</v>
      </c>
      <c r="K322" s="282">
        <f>K323</f>
        <v>9542</v>
      </c>
      <c r="L322" s="34">
        <f>L323</f>
        <v>77900</v>
      </c>
      <c r="M322" s="34">
        <f>M323</f>
        <v>77900</v>
      </c>
      <c r="N322" s="410"/>
      <c r="O322" s="196"/>
    </row>
    <row r="323" spans="1:18" ht="30" hidden="1" customHeight="1" x14ac:dyDescent="0.25">
      <c r="A323" s="174"/>
      <c r="B323" s="174"/>
      <c r="C323" s="174"/>
      <c r="D323" s="174"/>
      <c r="E323" s="171"/>
      <c r="F323" s="38" t="s">
        <v>98</v>
      </c>
      <c r="G323" s="181" t="s">
        <v>466</v>
      </c>
      <c r="H323" s="43" t="s">
        <v>13</v>
      </c>
      <c r="I323" s="282">
        <f>11900-1858-500</f>
        <v>9542</v>
      </c>
      <c r="J323" s="282">
        <f>K323-I323</f>
        <v>0</v>
      </c>
      <c r="K323" s="282">
        <f>11900-1858-500</f>
        <v>9542</v>
      </c>
      <c r="L323" s="34">
        <v>77900</v>
      </c>
      <c r="M323" s="34">
        <v>77900</v>
      </c>
      <c r="N323" s="410"/>
      <c r="O323" s="196"/>
    </row>
    <row r="324" spans="1:18" s="150" customFormat="1" ht="20.100000000000001" hidden="1" customHeight="1" x14ac:dyDescent="0.25">
      <c r="A324" s="176"/>
      <c r="B324" s="176"/>
      <c r="C324" s="172">
        <v>313</v>
      </c>
      <c r="D324" s="172"/>
      <c r="E324" s="172"/>
      <c r="F324" s="42"/>
      <c r="G324" s="181" t="s">
        <v>466</v>
      </c>
      <c r="H324" s="43" t="s">
        <v>13</v>
      </c>
      <c r="I324" s="281">
        <f>I325+I330</f>
        <v>73470</v>
      </c>
      <c r="J324" s="281">
        <f>J325+J330</f>
        <v>-3500</v>
      </c>
      <c r="K324" s="281">
        <f>K325+K330</f>
        <v>69970</v>
      </c>
      <c r="L324" s="148">
        <f>L325+L330</f>
        <v>673632</v>
      </c>
      <c r="M324" s="148">
        <f>M325+M330</f>
        <v>674432</v>
      </c>
      <c r="N324" s="410"/>
      <c r="O324" s="196"/>
      <c r="P324" s="270"/>
      <c r="Q324" s="149"/>
      <c r="R324" s="149"/>
    </row>
    <row r="325" spans="1:18" ht="20.100000000000001" hidden="1" customHeight="1" x14ac:dyDescent="0.25">
      <c r="A325" s="174"/>
      <c r="B325" s="174"/>
      <c r="C325" s="174"/>
      <c r="D325" s="174">
        <v>3132</v>
      </c>
      <c r="E325" s="174"/>
      <c r="F325" s="44"/>
      <c r="G325" s="181" t="s">
        <v>466</v>
      </c>
      <c r="H325" s="43" t="s">
        <v>13</v>
      </c>
      <c r="I325" s="282">
        <f>I326+I328</f>
        <v>73470</v>
      </c>
      <c r="J325" s="282">
        <f>J326+J328</f>
        <v>-3500</v>
      </c>
      <c r="K325" s="282">
        <f>K326+K328</f>
        <v>69970</v>
      </c>
      <c r="L325" s="34">
        <f>L326+L328</f>
        <v>604300</v>
      </c>
      <c r="M325" s="34">
        <f>M326+M328</f>
        <v>605100</v>
      </c>
      <c r="N325" s="410"/>
      <c r="O325" s="196"/>
    </row>
    <row r="326" spans="1:18" ht="20.100000000000001" hidden="1" customHeight="1" x14ac:dyDescent="0.25">
      <c r="A326" s="174"/>
      <c r="B326" s="174"/>
      <c r="C326" s="174"/>
      <c r="D326" s="174"/>
      <c r="E326" s="171" t="s">
        <v>300</v>
      </c>
      <c r="F326" s="38"/>
      <c r="G326" s="181" t="s">
        <v>466</v>
      </c>
      <c r="H326" s="43" t="s">
        <v>13</v>
      </c>
      <c r="I326" s="282">
        <f t="shared" ref="I326:K326" si="55">I327+I334+I333</f>
        <v>73470</v>
      </c>
      <c r="J326" s="282">
        <f t="shared" si="55"/>
        <v>-3500</v>
      </c>
      <c r="K326" s="282">
        <f t="shared" si="55"/>
        <v>69970</v>
      </c>
      <c r="L326" s="34">
        <f>L327</f>
        <v>579300</v>
      </c>
      <c r="M326" s="34">
        <f>M327</f>
        <v>580100</v>
      </c>
      <c r="N326" s="410"/>
      <c r="O326" s="196"/>
    </row>
    <row r="327" spans="1:18" ht="15" hidden="1" customHeight="1" x14ac:dyDescent="0.25">
      <c r="A327" s="174"/>
      <c r="B327" s="174"/>
      <c r="C327" s="174"/>
      <c r="D327" s="174"/>
      <c r="E327" s="171"/>
      <c r="F327" s="38" t="s">
        <v>301</v>
      </c>
      <c r="G327" s="181" t="s">
        <v>466</v>
      </c>
      <c r="H327" s="43" t="s">
        <v>13</v>
      </c>
      <c r="I327" s="282">
        <v>71700</v>
      </c>
      <c r="J327" s="282">
        <f>K327-I327</f>
        <v>-3500</v>
      </c>
      <c r="K327" s="282">
        <f>71700-2000-500-1000</f>
        <v>68200</v>
      </c>
      <c r="L327" s="34">
        <v>579300</v>
      </c>
      <c r="M327" s="34">
        <v>580100</v>
      </c>
      <c r="N327" s="410"/>
      <c r="O327" s="196"/>
    </row>
    <row r="328" spans="1:18" ht="30" hidden="1" customHeight="1" x14ac:dyDescent="0.25">
      <c r="A328" s="174"/>
      <c r="B328" s="174"/>
      <c r="C328" s="174"/>
      <c r="D328" s="174"/>
      <c r="E328" s="171" t="s">
        <v>302</v>
      </c>
      <c r="F328" s="38"/>
      <c r="G328" s="181" t="s">
        <v>466</v>
      </c>
      <c r="H328" s="43" t="s">
        <v>13</v>
      </c>
      <c r="I328" s="282">
        <f>I329</f>
        <v>0</v>
      </c>
      <c r="J328" s="282">
        <f>J329</f>
        <v>0</v>
      </c>
      <c r="K328" s="282">
        <f>K329</f>
        <v>0</v>
      </c>
      <c r="L328" s="34">
        <f>L329</f>
        <v>25000</v>
      </c>
      <c r="M328" s="34">
        <f>M329</f>
        <v>25000</v>
      </c>
      <c r="N328" s="410"/>
      <c r="O328" s="196"/>
    </row>
    <row r="329" spans="1:18" ht="33" hidden="1" customHeight="1" x14ac:dyDescent="0.25">
      <c r="A329" s="174"/>
      <c r="B329" s="174"/>
      <c r="C329" s="174"/>
      <c r="D329" s="174"/>
      <c r="E329" s="171"/>
      <c r="F329" s="38" t="s">
        <v>303</v>
      </c>
      <c r="G329" s="181" t="s">
        <v>466</v>
      </c>
      <c r="H329" s="43" t="s">
        <v>13</v>
      </c>
      <c r="I329" s="282">
        <f>44300+600+100+20000-65000</f>
        <v>0</v>
      </c>
      <c r="J329" s="282">
        <f>K329-I329</f>
        <v>0</v>
      </c>
      <c r="K329" s="282">
        <f>44300+600+100+20000-65000</f>
        <v>0</v>
      </c>
      <c r="L329" s="34">
        <v>25000</v>
      </c>
      <c r="M329" s="34">
        <v>25000</v>
      </c>
      <c r="N329" s="410"/>
      <c r="O329" s="196"/>
    </row>
    <row r="330" spans="1:18" ht="30" hidden="1" customHeight="1" x14ac:dyDescent="0.25">
      <c r="A330" s="174"/>
      <c r="B330" s="174"/>
      <c r="C330" s="174"/>
      <c r="D330" s="174">
        <v>3133</v>
      </c>
      <c r="E330" s="174"/>
      <c r="F330" s="44"/>
      <c r="G330" s="181" t="s">
        <v>466</v>
      </c>
      <c r="H330" s="43" t="s">
        <v>13</v>
      </c>
      <c r="I330" s="282">
        <f t="shared" ref="I330:M331" si="56">I331</f>
        <v>0</v>
      </c>
      <c r="J330" s="282">
        <f t="shared" si="56"/>
        <v>0</v>
      </c>
      <c r="K330" s="282">
        <f t="shared" si="56"/>
        <v>0</v>
      </c>
      <c r="L330" s="34">
        <f t="shared" si="56"/>
        <v>69332</v>
      </c>
      <c r="M330" s="34">
        <f t="shared" si="56"/>
        <v>69332</v>
      </c>
      <c r="N330" s="410"/>
      <c r="O330" s="196"/>
      <c r="P330" s="68"/>
    </row>
    <row r="331" spans="1:18" ht="30" hidden="1" customHeight="1" x14ac:dyDescent="0.25">
      <c r="A331" s="174"/>
      <c r="B331" s="174"/>
      <c r="C331" s="174"/>
      <c r="D331" s="174"/>
      <c r="E331" s="171" t="s">
        <v>304</v>
      </c>
      <c r="F331" s="38"/>
      <c r="G331" s="181" t="s">
        <v>466</v>
      </c>
      <c r="H331" s="43" t="s">
        <v>13</v>
      </c>
      <c r="I331" s="282">
        <f t="shared" si="56"/>
        <v>0</v>
      </c>
      <c r="J331" s="282">
        <f>K331-I331</f>
        <v>0</v>
      </c>
      <c r="K331" s="282">
        <f t="shared" si="56"/>
        <v>0</v>
      </c>
      <c r="L331" s="34">
        <f t="shared" si="56"/>
        <v>69332</v>
      </c>
      <c r="M331" s="34">
        <f t="shared" si="56"/>
        <v>69332</v>
      </c>
      <c r="N331" s="410"/>
      <c r="O331" s="196"/>
      <c r="Q331" s="35"/>
    </row>
    <row r="332" spans="1:18" ht="30" hidden="1" customHeight="1" x14ac:dyDescent="0.25">
      <c r="A332" s="174"/>
      <c r="B332" s="174"/>
      <c r="C332" s="174"/>
      <c r="D332" s="174"/>
      <c r="E332" s="171"/>
      <c r="F332" s="38" t="s">
        <v>305</v>
      </c>
      <c r="G332" s="181">
        <v>31</v>
      </c>
      <c r="H332" s="43" t="s">
        <v>13</v>
      </c>
      <c r="I332" s="282">
        <f>106600+1200+1900+300+50000-160000</f>
        <v>0</v>
      </c>
      <c r="J332" s="282">
        <f>K332-I332</f>
        <v>0</v>
      </c>
      <c r="K332" s="282">
        <f>106600+1200+1900+300+50000-160000</f>
        <v>0</v>
      </c>
      <c r="L332" s="34">
        <v>69332</v>
      </c>
      <c r="M332" s="34">
        <v>69332</v>
      </c>
      <c r="N332" s="410"/>
      <c r="O332" s="196"/>
      <c r="Q332" s="35"/>
    </row>
    <row r="333" spans="1:18" ht="30" hidden="1" customHeight="1" x14ac:dyDescent="0.25">
      <c r="A333" s="174"/>
      <c r="B333" s="174"/>
      <c r="C333" s="174"/>
      <c r="D333" s="174"/>
      <c r="E333" s="171"/>
      <c r="F333" s="38"/>
      <c r="G333" s="181" t="s">
        <v>448</v>
      </c>
      <c r="H333" s="43" t="s">
        <v>13</v>
      </c>
      <c r="I333" s="282">
        <v>1600</v>
      </c>
      <c r="J333" s="282">
        <f>K333-I333</f>
        <v>0</v>
      </c>
      <c r="K333" s="282">
        <v>1600</v>
      </c>
      <c r="L333" s="34"/>
      <c r="M333" s="34"/>
      <c r="N333" s="410"/>
      <c r="O333" s="196"/>
      <c r="Q333" s="35"/>
    </row>
    <row r="334" spans="1:18" ht="30" hidden="1" customHeight="1" x14ac:dyDescent="0.25">
      <c r="A334" s="174"/>
      <c r="B334" s="174"/>
      <c r="C334" s="174"/>
      <c r="D334" s="174"/>
      <c r="E334" s="171"/>
      <c r="F334" s="38"/>
      <c r="G334" s="181" t="s">
        <v>502</v>
      </c>
      <c r="H334" s="43" t="s">
        <v>13</v>
      </c>
      <c r="I334" s="282">
        <v>170</v>
      </c>
      <c r="J334" s="282">
        <f>K334-I334</f>
        <v>0</v>
      </c>
      <c r="K334" s="282">
        <v>170</v>
      </c>
      <c r="L334" s="34"/>
      <c r="M334" s="34"/>
      <c r="N334" s="410"/>
      <c r="O334" s="196"/>
      <c r="Q334" s="35"/>
    </row>
    <row r="335" spans="1:18" s="21" customFormat="1" ht="20.100000000000001" customHeight="1" x14ac:dyDescent="0.25">
      <c r="A335" s="172"/>
      <c r="B335" s="172">
        <v>32</v>
      </c>
      <c r="C335" s="172"/>
      <c r="D335" s="172"/>
      <c r="E335" s="172"/>
      <c r="F335" s="42"/>
      <c r="G335" s="181" t="s">
        <v>466</v>
      </c>
      <c r="H335" s="216" t="s">
        <v>22</v>
      </c>
      <c r="I335" s="281">
        <f>I336+I357+I401+I465+I469-I526-I525</f>
        <v>835492.46</v>
      </c>
      <c r="J335" s="281">
        <f>J336+J357+J401+J465+J469-J525-J526</f>
        <v>3000.239999999998</v>
      </c>
      <c r="K335" s="281">
        <f>K336+K357+K401+K465+K469-K525-K526</f>
        <v>838492.7</v>
      </c>
      <c r="L335" s="45">
        <f>L336+L357+L401+L465+L469</f>
        <v>2844018</v>
      </c>
      <c r="M335" s="45">
        <f>M336+M357+M401+M465+M469</f>
        <v>2823818</v>
      </c>
      <c r="N335" s="410"/>
      <c r="O335" s="196"/>
      <c r="P335" s="270"/>
      <c r="Q335" s="20"/>
      <c r="R335" s="20"/>
    </row>
    <row r="336" spans="1:18" s="150" customFormat="1" ht="20.100000000000001" hidden="1" customHeight="1" x14ac:dyDescent="0.25">
      <c r="A336" s="176"/>
      <c r="B336" s="176"/>
      <c r="C336" s="172">
        <v>321</v>
      </c>
      <c r="D336" s="172"/>
      <c r="E336" s="212"/>
      <c r="F336" s="368"/>
      <c r="G336" s="181" t="s">
        <v>466</v>
      </c>
      <c r="H336" s="216" t="s">
        <v>22</v>
      </c>
      <c r="I336" s="281">
        <f>I337+I346+I351</f>
        <v>34240</v>
      </c>
      <c r="J336" s="281">
        <f>J337+J346+J351</f>
        <v>-500</v>
      </c>
      <c r="K336" s="281">
        <f>K337+K346+K351</f>
        <v>33740</v>
      </c>
      <c r="L336" s="151">
        <f t="shared" ref="L336:M336" si="57">L337+L346+L351</f>
        <v>177800</v>
      </c>
      <c r="M336" s="151">
        <f t="shared" si="57"/>
        <v>177800</v>
      </c>
      <c r="N336" s="410"/>
      <c r="O336" s="196"/>
      <c r="P336" s="270"/>
      <c r="Q336" s="149"/>
      <c r="R336" s="149"/>
    </row>
    <row r="337" spans="1:18" ht="20.100000000000001" hidden="1" customHeight="1" x14ac:dyDescent="0.25">
      <c r="A337" s="174"/>
      <c r="B337" s="174"/>
      <c r="C337" s="174"/>
      <c r="D337" s="174">
        <v>3211</v>
      </c>
      <c r="E337" s="213"/>
      <c r="F337" s="214"/>
      <c r="G337" s="181" t="s">
        <v>466</v>
      </c>
      <c r="H337" s="216" t="s">
        <v>22</v>
      </c>
      <c r="I337" s="282">
        <f>I338+I340+I342+I344</f>
        <v>6240</v>
      </c>
      <c r="J337" s="282">
        <f>J338+J340+J342+J344</f>
        <v>500</v>
      </c>
      <c r="K337" s="282">
        <f>K338+K340+K342+K344</f>
        <v>6740</v>
      </c>
      <c r="L337" s="34">
        <f>L338+L340+L342+L344</f>
        <v>27900</v>
      </c>
      <c r="M337" s="34">
        <f>M338+M340+M342+M344</f>
        <v>27900</v>
      </c>
      <c r="N337" s="410"/>
      <c r="O337" s="196"/>
    </row>
    <row r="338" spans="1:18" s="50" customFormat="1" ht="20.100000000000001" hidden="1" customHeight="1" x14ac:dyDescent="0.25">
      <c r="A338" s="174"/>
      <c r="B338" s="174"/>
      <c r="C338" s="174"/>
      <c r="D338" s="174"/>
      <c r="E338" s="171" t="s">
        <v>306</v>
      </c>
      <c r="F338" s="38"/>
      <c r="G338" s="181" t="s">
        <v>466</v>
      </c>
      <c r="H338" s="216" t="s">
        <v>22</v>
      </c>
      <c r="I338" s="282">
        <f>I339</f>
        <v>2300</v>
      </c>
      <c r="J338" s="282">
        <f>J339</f>
        <v>500</v>
      </c>
      <c r="K338" s="282">
        <f>K339</f>
        <v>2800</v>
      </c>
      <c r="L338" s="34">
        <f>L339</f>
        <v>12300</v>
      </c>
      <c r="M338" s="34">
        <f>M339</f>
        <v>12300</v>
      </c>
      <c r="N338" s="410"/>
      <c r="O338" s="196"/>
      <c r="P338" s="411"/>
      <c r="Q338" s="268"/>
      <c r="R338" s="268"/>
    </row>
    <row r="339" spans="1:18" s="50" customFormat="1" ht="20.100000000000001" hidden="1" customHeight="1" x14ac:dyDescent="0.25">
      <c r="A339" s="174"/>
      <c r="B339" s="174"/>
      <c r="C339" s="174"/>
      <c r="D339" s="174"/>
      <c r="E339" s="171"/>
      <c r="F339" s="38" t="s">
        <v>307</v>
      </c>
      <c r="G339" s="181" t="s">
        <v>466</v>
      </c>
      <c r="H339" s="216" t="s">
        <v>22</v>
      </c>
      <c r="I339" s="282">
        <f>1600+700</f>
        <v>2300</v>
      </c>
      <c r="J339" s="282">
        <f>K339-I339</f>
        <v>500</v>
      </c>
      <c r="K339" s="282">
        <f>1600+700+500</f>
        <v>2800</v>
      </c>
      <c r="L339" s="34">
        <v>12300</v>
      </c>
      <c r="M339" s="34">
        <v>12300</v>
      </c>
      <c r="N339" s="410"/>
      <c r="O339" s="196"/>
      <c r="P339" s="411"/>
      <c r="Q339" s="268"/>
      <c r="R339" s="268"/>
    </row>
    <row r="340" spans="1:18" s="50" customFormat="1" ht="30" hidden="1" customHeight="1" x14ac:dyDescent="0.25">
      <c r="A340" s="174"/>
      <c r="B340" s="174"/>
      <c r="C340" s="174"/>
      <c r="D340" s="174"/>
      <c r="E340" s="171" t="s">
        <v>308</v>
      </c>
      <c r="F340" s="38"/>
      <c r="G340" s="181" t="s">
        <v>466</v>
      </c>
      <c r="H340" s="216" t="s">
        <v>22</v>
      </c>
      <c r="I340" s="282">
        <f>I341</f>
        <v>3100</v>
      </c>
      <c r="J340" s="282">
        <f>J341</f>
        <v>0</v>
      </c>
      <c r="K340" s="282">
        <f>K341</f>
        <v>3100</v>
      </c>
      <c r="L340" s="34">
        <f>L341</f>
        <v>5000</v>
      </c>
      <c r="M340" s="34">
        <f>M341</f>
        <v>5000</v>
      </c>
      <c r="N340" s="410"/>
      <c r="O340" s="196"/>
      <c r="P340" s="411"/>
      <c r="Q340" s="268"/>
      <c r="R340" s="268"/>
    </row>
    <row r="341" spans="1:18" s="50" customFormat="1" ht="30" hidden="1" customHeight="1" x14ac:dyDescent="0.25">
      <c r="A341" s="174"/>
      <c r="B341" s="174"/>
      <c r="C341" s="174"/>
      <c r="D341" s="174"/>
      <c r="E341" s="171"/>
      <c r="F341" s="38" t="s">
        <v>309</v>
      </c>
      <c r="G341" s="181" t="s">
        <v>466</v>
      </c>
      <c r="H341" s="216" t="s">
        <v>22</v>
      </c>
      <c r="I341" s="282">
        <f>1800+1300</f>
        <v>3100</v>
      </c>
      <c r="J341" s="282">
        <f>K341-I341</f>
        <v>0</v>
      </c>
      <c r="K341" s="282">
        <f>1800+1300</f>
        <v>3100</v>
      </c>
      <c r="L341" s="34">
        <v>5000</v>
      </c>
      <c r="M341" s="34">
        <v>5000</v>
      </c>
      <c r="N341" s="410"/>
      <c r="O341" s="196"/>
      <c r="P341" s="411"/>
      <c r="Q341" s="268"/>
      <c r="R341" s="268"/>
    </row>
    <row r="342" spans="1:18" s="50" customFormat="1" ht="30" hidden="1" customHeight="1" x14ac:dyDescent="0.25">
      <c r="A342" s="174"/>
      <c r="B342" s="174"/>
      <c r="C342" s="174"/>
      <c r="D342" s="174"/>
      <c r="E342" s="171" t="s">
        <v>310</v>
      </c>
      <c r="F342" s="38"/>
      <c r="G342" s="181" t="s">
        <v>466</v>
      </c>
      <c r="H342" s="216" t="s">
        <v>22</v>
      </c>
      <c r="I342" s="282">
        <f>I343</f>
        <v>340</v>
      </c>
      <c r="J342" s="282">
        <f>J343</f>
        <v>0</v>
      </c>
      <c r="K342" s="282">
        <f>K343</f>
        <v>340</v>
      </c>
      <c r="L342" s="34">
        <f>L343</f>
        <v>5000</v>
      </c>
      <c r="M342" s="34">
        <f>M343</f>
        <v>5000</v>
      </c>
      <c r="N342" s="410"/>
      <c r="O342" s="196"/>
      <c r="P342" s="411"/>
      <c r="Q342" s="268"/>
      <c r="R342" s="268"/>
    </row>
    <row r="343" spans="1:18" s="50" customFormat="1" ht="30" hidden="1" customHeight="1" x14ac:dyDescent="0.25">
      <c r="A343" s="174"/>
      <c r="B343" s="174"/>
      <c r="C343" s="174"/>
      <c r="D343" s="174"/>
      <c r="E343" s="171"/>
      <c r="F343" s="38" t="s">
        <v>311</v>
      </c>
      <c r="G343" s="181" t="s">
        <v>466</v>
      </c>
      <c r="H343" s="216" t="s">
        <v>22</v>
      </c>
      <c r="I343" s="282">
        <v>340</v>
      </c>
      <c r="J343" s="282">
        <f>K343-I343</f>
        <v>0</v>
      </c>
      <c r="K343" s="282">
        <v>340</v>
      </c>
      <c r="L343" s="34">
        <v>5000</v>
      </c>
      <c r="M343" s="34">
        <v>5000</v>
      </c>
      <c r="N343" s="410"/>
      <c r="O343" s="196"/>
      <c r="P343" s="411"/>
      <c r="Q343" s="268"/>
      <c r="R343" s="268"/>
    </row>
    <row r="344" spans="1:18" s="50" customFormat="1" ht="20.100000000000001" hidden="1" customHeight="1" x14ac:dyDescent="0.25">
      <c r="A344" s="174"/>
      <c r="B344" s="174"/>
      <c r="C344" s="174"/>
      <c r="D344" s="174"/>
      <c r="E344" s="171" t="s">
        <v>312</v>
      </c>
      <c r="F344" s="38"/>
      <c r="G344" s="181" t="s">
        <v>466</v>
      </c>
      <c r="H344" s="216" t="s">
        <v>22</v>
      </c>
      <c r="I344" s="282">
        <f>I345</f>
        <v>500</v>
      </c>
      <c r="J344" s="282">
        <f>J345</f>
        <v>0</v>
      </c>
      <c r="K344" s="282">
        <f>K345</f>
        <v>500</v>
      </c>
      <c r="L344" s="34">
        <f>L345</f>
        <v>5600</v>
      </c>
      <c r="M344" s="34">
        <f>M345</f>
        <v>5600</v>
      </c>
      <c r="N344" s="410"/>
      <c r="O344" s="196"/>
      <c r="P344" s="411"/>
      <c r="Q344" s="268"/>
      <c r="R344" s="268"/>
    </row>
    <row r="345" spans="1:18" s="50" customFormat="1" ht="15" hidden="1" customHeight="1" x14ac:dyDescent="0.25">
      <c r="A345" s="174"/>
      <c r="B345" s="174"/>
      <c r="C345" s="174"/>
      <c r="D345" s="174"/>
      <c r="E345" s="171"/>
      <c r="F345" s="38" t="s">
        <v>313</v>
      </c>
      <c r="G345" s="181" t="s">
        <v>466</v>
      </c>
      <c r="H345" s="216" t="s">
        <v>22</v>
      </c>
      <c r="I345" s="282">
        <v>500</v>
      </c>
      <c r="J345" s="282">
        <f>K345-I345</f>
        <v>0</v>
      </c>
      <c r="K345" s="282">
        <v>500</v>
      </c>
      <c r="L345" s="34">
        <f>14600-9000</f>
        <v>5600</v>
      </c>
      <c r="M345" s="34">
        <f>14600-9000</f>
        <v>5600</v>
      </c>
      <c r="N345" s="410"/>
      <c r="O345" s="196"/>
      <c r="P345" s="411"/>
      <c r="Q345" s="268"/>
      <c r="R345" s="268"/>
    </row>
    <row r="346" spans="1:18" ht="30" hidden="1" customHeight="1" x14ac:dyDescent="0.25">
      <c r="A346" s="174"/>
      <c r="B346" s="174"/>
      <c r="C346" s="174"/>
      <c r="D346" s="174">
        <v>3212</v>
      </c>
      <c r="E346" s="213"/>
      <c r="F346" s="214"/>
      <c r="G346" s="181" t="s">
        <v>466</v>
      </c>
      <c r="H346" s="216" t="s">
        <v>22</v>
      </c>
      <c r="I346" s="282">
        <f>I347+I349</f>
        <v>16500</v>
      </c>
      <c r="J346" s="282">
        <f>J347+J349</f>
        <v>-2000</v>
      </c>
      <c r="K346" s="282">
        <f>K347+K349</f>
        <v>14500</v>
      </c>
      <c r="L346" s="39">
        <f t="shared" ref="L346:M346" si="58">L347+L349</f>
        <v>103000</v>
      </c>
      <c r="M346" s="39">
        <f t="shared" si="58"/>
        <v>103000</v>
      </c>
      <c r="N346" s="410"/>
      <c r="O346" s="196"/>
    </row>
    <row r="347" spans="1:18" ht="20.100000000000001" hidden="1" customHeight="1" x14ac:dyDescent="0.25">
      <c r="A347" s="174"/>
      <c r="B347" s="174"/>
      <c r="C347" s="174"/>
      <c r="D347" s="174"/>
      <c r="E347" s="171" t="s">
        <v>314</v>
      </c>
      <c r="F347" s="38"/>
      <c r="G347" s="181" t="s">
        <v>466</v>
      </c>
      <c r="H347" s="216" t="s">
        <v>22</v>
      </c>
      <c r="I347" s="282">
        <f>I348</f>
        <v>15600</v>
      </c>
      <c r="J347" s="282">
        <f>J348</f>
        <v>-2000</v>
      </c>
      <c r="K347" s="282">
        <f>K348</f>
        <v>13600</v>
      </c>
      <c r="L347" s="39">
        <f t="shared" ref="L347:M347" si="59">L348</f>
        <v>83000</v>
      </c>
      <c r="M347" s="39">
        <f t="shared" si="59"/>
        <v>83000</v>
      </c>
      <c r="N347" s="410"/>
      <c r="O347" s="196"/>
    </row>
    <row r="348" spans="1:18" ht="20.100000000000001" hidden="1" customHeight="1" x14ac:dyDescent="0.25">
      <c r="A348" s="174"/>
      <c r="B348" s="174"/>
      <c r="C348" s="174"/>
      <c r="D348" s="174"/>
      <c r="E348" s="171"/>
      <c r="F348" s="38" t="s">
        <v>315</v>
      </c>
      <c r="G348" s="181" t="s">
        <v>466</v>
      </c>
      <c r="H348" s="216" t="s">
        <v>22</v>
      </c>
      <c r="I348" s="282">
        <v>15600</v>
      </c>
      <c r="J348" s="282">
        <f>K348-I348</f>
        <v>-2000</v>
      </c>
      <c r="K348" s="282">
        <f>15600-2000</f>
        <v>13600</v>
      </c>
      <c r="L348" s="51">
        <v>83000</v>
      </c>
      <c r="M348" s="51">
        <v>83000</v>
      </c>
      <c r="N348" s="410"/>
      <c r="O348" s="196"/>
    </row>
    <row r="349" spans="1:18" ht="20.100000000000001" hidden="1" customHeight="1" x14ac:dyDescent="0.25">
      <c r="A349" s="174"/>
      <c r="B349" s="174"/>
      <c r="C349" s="174"/>
      <c r="D349" s="174"/>
      <c r="E349" s="171" t="s">
        <v>316</v>
      </c>
      <c r="F349" s="38"/>
      <c r="G349" s="181" t="s">
        <v>466</v>
      </c>
      <c r="H349" s="216" t="s">
        <v>22</v>
      </c>
      <c r="I349" s="282">
        <f>I350</f>
        <v>900</v>
      </c>
      <c r="J349" s="282">
        <f>J350</f>
        <v>0</v>
      </c>
      <c r="K349" s="282">
        <f>K350</f>
        <v>900</v>
      </c>
      <c r="L349" s="34">
        <f>L350</f>
        <v>20000</v>
      </c>
      <c r="M349" s="34">
        <f>M350</f>
        <v>20000</v>
      </c>
      <c r="N349" s="410"/>
      <c r="O349" s="196"/>
    </row>
    <row r="350" spans="1:18" ht="20.100000000000001" hidden="1" customHeight="1" x14ac:dyDescent="0.25">
      <c r="A350" s="174"/>
      <c r="B350" s="174"/>
      <c r="C350" s="174"/>
      <c r="D350" s="174"/>
      <c r="E350" s="171"/>
      <c r="F350" s="38" t="s">
        <v>318</v>
      </c>
      <c r="G350" s="181" t="s">
        <v>466</v>
      </c>
      <c r="H350" s="216" t="s">
        <v>22</v>
      </c>
      <c r="I350" s="282">
        <v>900</v>
      </c>
      <c r="J350" s="282">
        <f>K350-I350</f>
        <v>0</v>
      </c>
      <c r="K350" s="282">
        <v>900</v>
      </c>
      <c r="L350" s="34">
        <v>20000</v>
      </c>
      <c r="M350" s="34">
        <v>20000</v>
      </c>
      <c r="N350" s="410"/>
      <c r="O350" s="196"/>
    </row>
    <row r="351" spans="1:18" ht="20.100000000000001" hidden="1" customHeight="1" x14ac:dyDescent="0.25">
      <c r="A351" s="174"/>
      <c r="B351" s="174"/>
      <c r="C351" s="174"/>
      <c r="D351" s="174">
        <v>3213</v>
      </c>
      <c r="E351" s="213"/>
      <c r="F351" s="214"/>
      <c r="G351" s="181" t="s">
        <v>466</v>
      </c>
      <c r="H351" s="216" t="s">
        <v>22</v>
      </c>
      <c r="I351" s="282">
        <f>I352+I355</f>
        <v>11500</v>
      </c>
      <c r="J351" s="282">
        <f>J352+J355</f>
        <v>1000</v>
      </c>
      <c r="K351" s="282">
        <f>K352+K355</f>
        <v>12500</v>
      </c>
      <c r="L351" s="34">
        <f>L352+L355</f>
        <v>46900</v>
      </c>
      <c r="M351" s="34">
        <f>M352+M355</f>
        <v>46900</v>
      </c>
      <c r="N351" s="410"/>
      <c r="O351" s="196"/>
    </row>
    <row r="352" spans="1:18" ht="20.100000000000001" hidden="1" customHeight="1" x14ac:dyDescent="0.25">
      <c r="A352" s="174"/>
      <c r="B352" s="174"/>
      <c r="C352" s="213"/>
      <c r="D352" s="213"/>
      <c r="E352" s="171" t="s">
        <v>108</v>
      </c>
      <c r="F352" s="38"/>
      <c r="G352" s="181" t="s">
        <v>466</v>
      </c>
      <c r="H352" s="216" t="s">
        <v>22</v>
      </c>
      <c r="I352" s="282">
        <f>I353+I354</f>
        <v>10200</v>
      </c>
      <c r="J352" s="282">
        <f>J353+J354</f>
        <v>1000</v>
      </c>
      <c r="K352" s="282">
        <f>K353+K354</f>
        <v>11200</v>
      </c>
      <c r="L352" s="34">
        <f>L353+L354</f>
        <v>31900</v>
      </c>
      <c r="M352" s="34">
        <f>M353+M354</f>
        <v>31900</v>
      </c>
      <c r="N352" s="410"/>
      <c r="O352" s="196"/>
    </row>
    <row r="353" spans="1:18" ht="20.100000000000001" hidden="1" customHeight="1" x14ac:dyDescent="0.25">
      <c r="A353" s="174"/>
      <c r="B353" s="174"/>
      <c r="C353" s="213"/>
      <c r="D353" s="213"/>
      <c r="E353" s="171"/>
      <c r="F353" s="38" t="s">
        <v>110</v>
      </c>
      <c r="G353" s="181" t="s">
        <v>466</v>
      </c>
      <c r="H353" s="216" t="s">
        <v>22</v>
      </c>
      <c r="I353" s="282">
        <f>5200+5000</f>
        <v>10200</v>
      </c>
      <c r="J353" s="282">
        <f>K353-I353</f>
        <v>1000</v>
      </c>
      <c r="K353" s="282">
        <f>5200+5000+1000</f>
        <v>11200</v>
      </c>
      <c r="L353" s="34">
        <f>17900+2000</f>
        <v>19900</v>
      </c>
      <c r="M353" s="34">
        <f>17900+2000</f>
        <v>19900</v>
      </c>
      <c r="N353" s="410"/>
      <c r="O353" s="196"/>
    </row>
    <row r="354" spans="1:18" ht="20.100000000000001" hidden="1" customHeight="1" x14ac:dyDescent="0.25">
      <c r="A354" s="174"/>
      <c r="B354" s="174"/>
      <c r="C354" s="213"/>
      <c r="D354" s="213"/>
      <c r="E354" s="171"/>
      <c r="F354" s="38" t="s">
        <v>112</v>
      </c>
      <c r="G354" s="181" t="s">
        <v>466</v>
      </c>
      <c r="H354" s="216" t="s">
        <v>22</v>
      </c>
      <c r="I354" s="282">
        <v>0</v>
      </c>
      <c r="J354" s="282">
        <f>K354-I354</f>
        <v>0</v>
      </c>
      <c r="K354" s="282">
        <v>0</v>
      </c>
      <c r="L354" s="34">
        <v>12000</v>
      </c>
      <c r="M354" s="34">
        <v>12000</v>
      </c>
      <c r="N354" s="410"/>
      <c r="O354" s="196"/>
    </row>
    <row r="355" spans="1:18" ht="20.100000000000001" hidden="1" customHeight="1" x14ac:dyDescent="0.25">
      <c r="A355" s="174"/>
      <c r="B355" s="174"/>
      <c r="C355" s="213"/>
      <c r="D355" s="213"/>
      <c r="E355" s="171" t="s">
        <v>114</v>
      </c>
      <c r="F355" s="38"/>
      <c r="G355" s="181" t="s">
        <v>466</v>
      </c>
      <c r="H355" s="216" t="s">
        <v>22</v>
      </c>
      <c r="I355" s="282">
        <f>I356</f>
        <v>1300</v>
      </c>
      <c r="J355" s="282">
        <f>J356</f>
        <v>0</v>
      </c>
      <c r="K355" s="282">
        <f>K356</f>
        <v>1300</v>
      </c>
      <c r="L355" s="34">
        <f>L356</f>
        <v>15000</v>
      </c>
      <c r="M355" s="34">
        <f>M356</f>
        <v>15000</v>
      </c>
      <c r="N355" s="410"/>
      <c r="O355" s="196"/>
    </row>
    <row r="356" spans="1:18" ht="20.100000000000001" hidden="1" customHeight="1" x14ac:dyDescent="0.25">
      <c r="A356" s="174"/>
      <c r="B356" s="174"/>
      <c r="C356" s="213"/>
      <c r="D356" s="213"/>
      <c r="E356" s="171"/>
      <c r="F356" s="38" t="s">
        <v>116</v>
      </c>
      <c r="G356" s="181" t="s">
        <v>466</v>
      </c>
      <c r="H356" s="216" t="s">
        <v>22</v>
      </c>
      <c r="I356" s="282">
        <v>1300</v>
      </c>
      <c r="J356" s="282">
        <f>K356-I356</f>
        <v>0</v>
      </c>
      <c r="K356" s="282">
        <v>1300</v>
      </c>
      <c r="L356" s="34">
        <v>15000</v>
      </c>
      <c r="M356" s="34">
        <v>15000</v>
      </c>
      <c r="N356" s="410"/>
      <c r="O356" s="196"/>
    </row>
    <row r="357" spans="1:18" s="150" customFormat="1" ht="20.100000000000001" hidden="1" customHeight="1" x14ac:dyDescent="0.25">
      <c r="A357" s="176"/>
      <c r="B357" s="176"/>
      <c r="C357" s="172">
        <v>322</v>
      </c>
      <c r="D357" s="172"/>
      <c r="E357" s="172"/>
      <c r="F357" s="42"/>
      <c r="G357" s="181" t="s">
        <v>466</v>
      </c>
      <c r="H357" s="216" t="s">
        <v>22</v>
      </c>
      <c r="I357" s="281">
        <f>I358+I374+I382+I390+I393+I398</f>
        <v>377800.23</v>
      </c>
      <c r="J357" s="281">
        <f>J358+J374+J382+J390+J393+J398</f>
        <v>44415.24</v>
      </c>
      <c r="K357" s="281">
        <f>K358+K374+K382+K390+K393+K398</f>
        <v>422215.47</v>
      </c>
      <c r="L357" s="148">
        <f>L358+L374+L382+L390+L393+L398</f>
        <v>987518</v>
      </c>
      <c r="M357" s="148">
        <f>M358+M374+M382+M390+M393+M398</f>
        <v>970518</v>
      </c>
      <c r="N357" s="410"/>
      <c r="O357" s="196"/>
      <c r="P357" s="270"/>
      <c r="Q357" s="149"/>
      <c r="R357" s="149"/>
    </row>
    <row r="358" spans="1:18" s="50" customFormat="1" ht="20.100000000000001" hidden="1" customHeight="1" x14ac:dyDescent="0.25">
      <c r="A358" s="174"/>
      <c r="B358" s="174"/>
      <c r="C358" s="174"/>
      <c r="D358" s="174">
        <v>3221</v>
      </c>
      <c r="E358" s="174"/>
      <c r="F358" s="44"/>
      <c r="G358" s="181" t="s">
        <v>466</v>
      </c>
      <c r="H358" s="216" t="s">
        <v>22</v>
      </c>
      <c r="I358" s="282">
        <f>I359+I366+I368+I370+I372</f>
        <v>18600</v>
      </c>
      <c r="J358" s="282">
        <f>J359+J366+J368+J370+J372</f>
        <v>1295.24</v>
      </c>
      <c r="K358" s="282">
        <f>K359+K366+K368+K370+K372</f>
        <v>19895.239999999998</v>
      </c>
      <c r="L358" s="34">
        <f>L359+L366+L368+L370+L372</f>
        <v>64618</v>
      </c>
      <c r="M358" s="34">
        <f>M359+M366+M368+M370+M372</f>
        <v>64618</v>
      </c>
      <c r="N358" s="410"/>
      <c r="O358" s="196"/>
      <c r="P358" s="411"/>
      <c r="Q358" s="268"/>
      <c r="R358" s="268"/>
    </row>
    <row r="359" spans="1:18" s="50" customFormat="1" ht="20.100000000000001" hidden="1" customHeight="1" x14ac:dyDescent="0.25">
      <c r="A359" s="174"/>
      <c r="B359" s="174"/>
      <c r="C359" s="174"/>
      <c r="D359" s="174"/>
      <c r="E359" s="171" t="s">
        <v>118</v>
      </c>
      <c r="F359" s="38"/>
      <c r="G359" s="181" t="s">
        <v>466</v>
      </c>
      <c r="H359" s="216" t="s">
        <v>22</v>
      </c>
      <c r="I359" s="282">
        <f>I360+I362+I364+I365+I361+I363</f>
        <v>8400</v>
      </c>
      <c r="J359" s="282">
        <f>J360+J362+J364+J365+J361+J363</f>
        <v>1295.24</v>
      </c>
      <c r="K359" s="282">
        <f>K360+K362+K364+K365+K361+K363</f>
        <v>9695.24</v>
      </c>
      <c r="L359" s="34">
        <f>L360+L362</f>
        <v>33000</v>
      </c>
      <c r="M359" s="34">
        <f>M360+M362</f>
        <v>33000</v>
      </c>
      <c r="N359" s="410"/>
      <c r="O359" s="196"/>
      <c r="P359" s="68"/>
      <c r="Q359" s="268"/>
      <c r="R359" s="268"/>
    </row>
    <row r="360" spans="1:18" s="50" customFormat="1" ht="20.100000000000001" hidden="1" customHeight="1" x14ac:dyDescent="0.25">
      <c r="A360" s="174"/>
      <c r="B360" s="174"/>
      <c r="C360" s="174"/>
      <c r="D360" s="174"/>
      <c r="E360" s="171"/>
      <c r="F360" s="38" t="s">
        <v>120</v>
      </c>
      <c r="G360" s="181" t="s">
        <v>466</v>
      </c>
      <c r="H360" s="216" t="s">
        <v>22</v>
      </c>
      <c r="I360" s="282">
        <f>4010+500</f>
        <v>4510</v>
      </c>
      <c r="J360" s="282">
        <f t="shared" ref="J360:J365" si="60">K360-I360</f>
        <v>0</v>
      </c>
      <c r="K360" s="282">
        <f>4010+500</f>
        <v>4510</v>
      </c>
      <c r="L360" s="34">
        <v>13000</v>
      </c>
      <c r="M360" s="34">
        <v>13000</v>
      </c>
      <c r="N360" s="410"/>
      <c r="O360" s="196"/>
      <c r="P360" s="68"/>
      <c r="Q360" s="268"/>
      <c r="R360" s="268"/>
    </row>
    <row r="361" spans="1:18" s="50" customFormat="1" ht="20.100000000000001" hidden="1" customHeight="1" x14ac:dyDescent="0.25">
      <c r="A361" s="174"/>
      <c r="B361" s="174"/>
      <c r="C361" s="174"/>
      <c r="D361" s="174"/>
      <c r="E361" s="171"/>
      <c r="F361" s="400" t="s">
        <v>120</v>
      </c>
      <c r="G361" s="399" t="s">
        <v>448</v>
      </c>
      <c r="H361" s="216" t="s">
        <v>22</v>
      </c>
      <c r="I361" s="401">
        <v>0</v>
      </c>
      <c r="J361" s="401">
        <f t="shared" si="60"/>
        <v>1045.83</v>
      </c>
      <c r="K361" s="401">
        <v>1045.83</v>
      </c>
      <c r="L361" s="34"/>
      <c r="M361" s="34"/>
      <c r="N361" s="410"/>
      <c r="O361" s="196"/>
      <c r="P361" s="68"/>
      <c r="Q361" s="268"/>
      <c r="R361" s="268"/>
    </row>
    <row r="362" spans="1:18" s="50" customFormat="1" ht="20.100000000000001" hidden="1" customHeight="1" x14ac:dyDescent="0.25">
      <c r="A362" s="174"/>
      <c r="B362" s="174"/>
      <c r="C362" s="174"/>
      <c r="D362" s="174"/>
      <c r="E362" s="171"/>
      <c r="F362" s="38" t="s">
        <v>121</v>
      </c>
      <c r="G362" s="181" t="s">
        <v>466</v>
      </c>
      <c r="H362" s="216" t="s">
        <v>22</v>
      </c>
      <c r="I362" s="282">
        <f>1700+1000</f>
        <v>2700</v>
      </c>
      <c r="J362" s="282">
        <f t="shared" si="60"/>
        <v>0</v>
      </c>
      <c r="K362" s="282">
        <f>1700+1000</f>
        <v>2700</v>
      </c>
      <c r="L362" s="34">
        <v>20000</v>
      </c>
      <c r="M362" s="34">
        <v>20000</v>
      </c>
      <c r="N362" s="410"/>
      <c r="O362" s="196"/>
      <c r="P362" s="68"/>
      <c r="Q362" s="268"/>
      <c r="R362" s="268"/>
    </row>
    <row r="363" spans="1:18" s="50" customFormat="1" ht="20.100000000000001" hidden="1" customHeight="1" x14ac:dyDescent="0.25">
      <c r="A363" s="174"/>
      <c r="B363" s="174"/>
      <c r="C363" s="174"/>
      <c r="D363" s="174"/>
      <c r="E363" s="171"/>
      <c r="F363" s="400" t="s">
        <v>120</v>
      </c>
      <c r="G363" s="399" t="s">
        <v>448</v>
      </c>
      <c r="H363" s="216" t="s">
        <v>22</v>
      </c>
      <c r="I363" s="401">
        <v>0</v>
      </c>
      <c r="J363" s="401">
        <f t="shared" si="60"/>
        <v>249.41</v>
      </c>
      <c r="K363" s="401">
        <v>249.41</v>
      </c>
      <c r="L363" s="34"/>
      <c r="M363" s="34"/>
      <c r="N363" s="410"/>
      <c r="O363" s="196"/>
      <c r="P363" s="68"/>
      <c r="Q363" s="268"/>
      <c r="R363" s="268"/>
    </row>
    <row r="364" spans="1:18" s="50" customFormat="1" ht="20.100000000000001" hidden="1" customHeight="1" x14ac:dyDescent="0.25">
      <c r="A364" s="174"/>
      <c r="B364" s="174"/>
      <c r="C364" s="174"/>
      <c r="D364" s="174"/>
      <c r="E364" s="171"/>
      <c r="F364" s="38" t="s">
        <v>120</v>
      </c>
      <c r="G364" s="181" t="s">
        <v>448</v>
      </c>
      <c r="H364" s="216" t="s">
        <v>22</v>
      </c>
      <c r="I364" s="282">
        <v>930</v>
      </c>
      <c r="J364" s="282">
        <f t="shared" si="60"/>
        <v>0</v>
      </c>
      <c r="K364" s="282">
        <v>930</v>
      </c>
      <c r="L364" s="34"/>
      <c r="M364" s="34"/>
      <c r="N364" s="410"/>
      <c r="O364" s="196"/>
      <c r="P364" s="68"/>
      <c r="Q364" s="268"/>
      <c r="R364" s="268"/>
    </row>
    <row r="365" spans="1:18" s="50" customFormat="1" ht="20.100000000000001" hidden="1" customHeight="1" x14ac:dyDescent="0.25">
      <c r="A365" s="174"/>
      <c r="B365" s="174"/>
      <c r="C365" s="174"/>
      <c r="D365" s="174"/>
      <c r="E365" s="171"/>
      <c r="F365" s="38" t="s">
        <v>120</v>
      </c>
      <c r="G365" s="181" t="s">
        <v>502</v>
      </c>
      <c r="H365" s="216" t="s">
        <v>22</v>
      </c>
      <c r="I365" s="282">
        <v>260</v>
      </c>
      <c r="J365" s="282">
        <f t="shared" si="60"/>
        <v>0</v>
      </c>
      <c r="K365" s="282">
        <v>260</v>
      </c>
      <c r="L365" s="34"/>
      <c r="M365" s="34"/>
      <c r="N365" s="410"/>
      <c r="O365" s="196"/>
      <c r="P365" s="68"/>
      <c r="Q365" s="268"/>
      <c r="R365" s="268"/>
    </row>
    <row r="366" spans="1:18" s="50" customFormat="1" ht="30" hidden="1" customHeight="1" x14ac:dyDescent="0.25">
      <c r="A366" s="174"/>
      <c r="B366" s="174"/>
      <c r="C366" s="174"/>
      <c r="D366" s="174"/>
      <c r="E366" s="171" t="s">
        <v>123</v>
      </c>
      <c r="F366" s="38"/>
      <c r="G366" s="181" t="s">
        <v>466</v>
      </c>
      <c r="H366" s="216" t="s">
        <v>22</v>
      </c>
      <c r="I366" s="282">
        <f>I367</f>
        <v>1400</v>
      </c>
      <c r="J366" s="282">
        <f>J367</f>
        <v>0</v>
      </c>
      <c r="K366" s="282">
        <f>K367</f>
        <v>1400</v>
      </c>
      <c r="L366" s="34">
        <f>L367</f>
        <v>2000</v>
      </c>
      <c r="M366" s="34">
        <f>M367</f>
        <v>2000</v>
      </c>
      <c r="N366" s="410"/>
      <c r="O366" s="196"/>
      <c r="P366" s="411"/>
      <c r="Q366" s="268"/>
      <c r="R366" s="268"/>
    </row>
    <row r="367" spans="1:18" s="50" customFormat="1" ht="30" hidden="1" customHeight="1" x14ac:dyDescent="0.25">
      <c r="A367" s="174"/>
      <c r="B367" s="174"/>
      <c r="C367" s="174"/>
      <c r="D367" s="174"/>
      <c r="E367" s="171"/>
      <c r="F367" s="38" t="s">
        <v>125</v>
      </c>
      <c r="G367" s="181" t="s">
        <v>466</v>
      </c>
      <c r="H367" s="216" t="s">
        <v>22</v>
      </c>
      <c r="I367" s="282">
        <v>1400</v>
      </c>
      <c r="J367" s="282">
        <f>K367-I367</f>
        <v>0</v>
      </c>
      <c r="K367" s="282">
        <v>1400</v>
      </c>
      <c r="L367" s="34">
        <v>2000</v>
      </c>
      <c r="M367" s="34">
        <v>2000</v>
      </c>
      <c r="N367" s="410"/>
      <c r="O367" s="196"/>
      <c r="P367" s="411"/>
      <c r="Q367" s="268"/>
      <c r="R367" s="268"/>
    </row>
    <row r="368" spans="1:18" s="50" customFormat="1" ht="20.100000000000001" hidden="1" customHeight="1" x14ac:dyDescent="0.25">
      <c r="A368" s="174"/>
      <c r="B368" s="174"/>
      <c r="C368" s="174"/>
      <c r="D368" s="174"/>
      <c r="E368" s="171" t="s">
        <v>126</v>
      </c>
      <c r="F368" s="38"/>
      <c r="G368" s="181" t="s">
        <v>466</v>
      </c>
      <c r="H368" s="216" t="s">
        <v>22</v>
      </c>
      <c r="I368" s="282">
        <f>I369</f>
        <v>2000</v>
      </c>
      <c r="J368" s="282">
        <f>J369</f>
        <v>0</v>
      </c>
      <c r="K368" s="282">
        <f>K369</f>
        <v>2000</v>
      </c>
      <c r="L368" s="34">
        <f>L369</f>
        <v>8618</v>
      </c>
      <c r="M368" s="34">
        <f>M369</f>
        <v>8618</v>
      </c>
      <c r="N368" s="410"/>
      <c r="O368" s="196"/>
      <c r="P368" s="411"/>
      <c r="Q368" s="268"/>
      <c r="R368" s="268"/>
    </row>
    <row r="369" spans="1:18" s="50" customFormat="1" ht="20.100000000000001" hidden="1" customHeight="1" x14ac:dyDescent="0.25">
      <c r="A369" s="174"/>
      <c r="B369" s="174"/>
      <c r="C369" s="174"/>
      <c r="D369" s="174"/>
      <c r="E369" s="171"/>
      <c r="F369" s="38" t="s">
        <v>128</v>
      </c>
      <c r="G369" s="181" t="s">
        <v>466</v>
      </c>
      <c r="H369" s="216" t="s">
        <v>22</v>
      </c>
      <c r="I369" s="282">
        <f>2000</f>
        <v>2000</v>
      </c>
      <c r="J369" s="282">
        <f>K369-I369</f>
        <v>0</v>
      </c>
      <c r="K369" s="282">
        <f>2000</f>
        <v>2000</v>
      </c>
      <c r="L369" s="34">
        <v>8618</v>
      </c>
      <c r="M369" s="34">
        <v>8618</v>
      </c>
      <c r="N369" s="410"/>
      <c r="O369" s="196"/>
      <c r="P369" s="411"/>
      <c r="Q369" s="268"/>
      <c r="R369" s="268"/>
    </row>
    <row r="370" spans="1:18" s="50" customFormat="1" ht="20.100000000000001" hidden="1" customHeight="1" x14ac:dyDescent="0.25">
      <c r="A370" s="174"/>
      <c r="B370" s="174"/>
      <c r="C370" s="174"/>
      <c r="D370" s="174"/>
      <c r="E370" s="171" t="s">
        <v>129</v>
      </c>
      <c r="F370" s="38"/>
      <c r="G370" s="181" t="s">
        <v>466</v>
      </c>
      <c r="H370" s="216" t="s">
        <v>22</v>
      </c>
      <c r="I370" s="282">
        <f>I371</f>
        <v>4200</v>
      </c>
      <c r="J370" s="282">
        <f>J371</f>
        <v>0</v>
      </c>
      <c r="K370" s="282">
        <f>K371</f>
        <v>4200</v>
      </c>
      <c r="L370" s="34">
        <f>L371</f>
        <v>2000</v>
      </c>
      <c r="M370" s="34">
        <f>M371</f>
        <v>2000</v>
      </c>
      <c r="N370" s="410"/>
      <c r="O370" s="196"/>
      <c r="P370" s="411"/>
      <c r="Q370" s="268"/>
      <c r="R370" s="268"/>
    </row>
    <row r="371" spans="1:18" s="50" customFormat="1" ht="20.100000000000001" hidden="1" customHeight="1" x14ac:dyDescent="0.25">
      <c r="A371" s="174"/>
      <c r="B371" s="174"/>
      <c r="C371" s="174"/>
      <c r="D371" s="174"/>
      <c r="E371" s="171"/>
      <c r="F371" s="38" t="s">
        <v>131</v>
      </c>
      <c r="G371" s="181" t="s">
        <v>466</v>
      </c>
      <c r="H371" s="216" t="s">
        <v>22</v>
      </c>
      <c r="I371" s="282">
        <v>4200</v>
      </c>
      <c r="J371" s="282">
        <f>K371-I371</f>
        <v>0</v>
      </c>
      <c r="K371" s="282">
        <v>4200</v>
      </c>
      <c r="L371" s="34">
        <v>2000</v>
      </c>
      <c r="M371" s="34">
        <v>2000</v>
      </c>
      <c r="N371" s="410"/>
      <c r="O371" s="196"/>
      <c r="P371" s="411"/>
      <c r="Q371" s="268"/>
      <c r="R371" s="268"/>
    </row>
    <row r="372" spans="1:18" s="50" customFormat="1" hidden="1" x14ac:dyDescent="0.25">
      <c r="A372" s="174"/>
      <c r="B372" s="174"/>
      <c r="C372" s="174"/>
      <c r="D372" s="174"/>
      <c r="E372" s="171" t="s">
        <v>132</v>
      </c>
      <c r="F372" s="38"/>
      <c r="G372" s="181" t="s">
        <v>466</v>
      </c>
      <c r="H372" s="216" t="s">
        <v>22</v>
      </c>
      <c r="I372" s="282">
        <f>I373</f>
        <v>2600</v>
      </c>
      <c r="J372" s="282">
        <f>J373</f>
        <v>0</v>
      </c>
      <c r="K372" s="282">
        <f>K373</f>
        <v>2600</v>
      </c>
      <c r="L372" s="34">
        <f>L373</f>
        <v>19000</v>
      </c>
      <c r="M372" s="34">
        <f>M373</f>
        <v>19000</v>
      </c>
      <c r="N372" s="410"/>
      <c r="O372" s="196"/>
      <c r="P372" s="411"/>
      <c r="Q372" s="268"/>
      <c r="R372" s="268"/>
    </row>
    <row r="373" spans="1:18" s="50" customFormat="1" ht="28.5" hidden="1" customHeight="1" x14ac:dyDescent="0.25">
      <c r="A373" s="174"/>
      <c r="B373" s="174"/>
      <c r="C373" s="174"/>
      <c r="D373" s="174"/>
      <c r="E373" s="171"/>
      <c r="F373" s="38" t="s">
        <v>134</v>
      </c>
      <c r="G373" s="181" t="s">
        <v>466</v>
      </c>
      <c r="H373" s="216" t="s">
        <v>22</v>
      </c>
      <c r="I373" s="282">
        <v>2600</v>
      </c>
      <c r="J373" s="282">
        <f>K373-I373</f>
        <v>0</v>
      </c>
      <c r="K373" s="282">
        <v>2600</v>
      </c>
      <c r="L373" s="34">
        <v>19000</v>
      </c>
      <c r="M373" s="34">
        <v>19000</v>
      </c>
      <c r="N373" s="410"/>
      <c r="O373" s="196"/>
      <c r="P373" s="411"/>
      <c r="Q373" s="268"/>
      <c r="R373" s="268"/>
    </row>
    <row r="374" spans="1:18" ht="20.100000000000001" hidden="1" customHeight="1" x14ac:dyDescent="0.25">
      <c r="A374" s="174"/>
      <c r="B374" s="174"/>
      <c r="C374" s="174"/>
      <c r="D374" s="174">
        <v>3222</v>
      </c>
      <c r="E374" s="174"/>
      <c r="F374" s="44"/>
      <c r="G374" s="181" t="s">
        <v>466</v>
      </c>
      <c r="H374" s="216" t="s">
        <v>22</v>
      </c>
      <c r="I374" s="282">
        <f t="shared" ref="I374:K374" si="61">I375+I378</f>
        <v>306100</v>
      </c>
      <c r="J374" s="282">
        <f t="shared" si="61"/>
        <v>39120</v>
      </c>
      <c r="K374" s="282">
        <f t="shared" si="61"/>
        <v>345220</v>
      </c>
      <c r="L374" s="34">
        <f>L375+L378</f>
        <v>686200</v>
      </c>
      <c r="M374" s="34">
        <f>M375+M378</f>
        <v>684200</v>
      </c>
      <c r="N374" s="410"/>
      <c r="O374" s="196"/>
    </row>
    <row r="375" spans="1:18" ht="20.100000000000001" hidden="1" customHeight="1" x14ac:dyDescent="0.25">
      <c r="A375" s="174"/>
      <c r="B375" s="174"/>
      <c r="C375" s="174"/>
      <c r="D375" s="174"/>
      <c r="E375" s="171" t="s">
        <v>135</v>
      </c>
      <c r="F375" s="38"/>
      <c r="G375" s="181" t="s">
        <v>466</v>
      </c>
      <c r="H375" s="216" t="s">
        <v>22</v>
      </c>
      <c r="I375" s="282">
        <f>I376+I377</f>
        <v>257100</v>
      </c>
      <c r="J375" s="282">
        <f>J376+J377</f>
        <v>13000</v>
      </c>
      <c r="K375" s="282">
        <f>K376+K377</f>
        <v>270100</v>
      </c>
      <c r="L375" s="34">
        <f>L376</f>
        <v>495800</v>
      </c>
      <c r="M375" s="34">
        <f>M376</f>
        <v>503800</v>
      </c>
      <c r="N375" s="410"/>
      <c r="O375" s="196"/>
    </row>
    <row r="376" spans="1:18" ht="20.100000000000001" hidden="1" customHeight="1" x14ac:dyDescent="0.25">
      <c r="A376" s="174"/>
      <c r="B376" s="174"/>
      <c r="C376" s="174"/>
      <c r="D376" s="174"/>
      <c r="E376" s="171"/>
      <c r="F376" s="38" t="s">
        <v>137</v>
      </c>
      <c r="G376" s="181" t="s">
        <v>466</v>
      </c>
      <c r="H376" s="216" t="s">
        <v>22</v>
      </c>
      <c r="I376" s="282">
        <f>295700-11600-7000-10000-2000-5500-500-2000</f>
        <v>257100</v>
      </c>
      <c r="J376" s="282">
        <f>K376-I376</f>
        <v>0</v>
      </c>
      <c r="K376" s="282">
        <f>295700-11600-7000-10000-2000-5500-500-2000</f>
        <v>257100</v>
      </c>
      <c r="L376" s="34">
        <v>495800</v>
      </c>
      <c r="M376" s="34">
        <v>503800</v>
      </c>
      <c r="N376" s="410"/>
      <c r="O376" s="196"/>
    </row>
    <row r="377" spans="1:18" ht="20.100000000000001" hidden="1" customHeight="1" x14ac:dyDescent="0.25">
      <c r="A377" s="174"/>
      <c r="B377" s="174"/>
      <c r="C377" s="174"/>
      <c r="D377" s="174"/>
      <c r="E377" s="171"/>
      <c r="F377" s="400" t="s">
        <v>137</v>
      </c>
      <c r="G377" s="399" t="s">
        <v>448</v>
      </c>
      <c r="H377" s="216" t="s">
        <v>22</v>
      </c>
      <c r="I377" s="401">
        <v>0</v>
      </c>
      <c r="J377" s="401">
        <f>K377-I377</f>
        <v>13000</v>
      </c>
      <c r="K377" s="401">
        <v>13000</v>
      </c>
      <c r="L377" s="34"/>
      <c r="M377" s="34"/>
      <c r="N377" s="410"/>
      <c r="O377" s="196"/>
    </row>
    <row r="378" spans="1:18" ht="20.100000000000001" hidden="1" customHeight="1" x14ac:dyDescent="0.25">
      <c r="A378" s="174"/>
      <c r="B378" s="174"/>
      <c r="C378" s="174"/>
      <c r="D378" s="174"/>
      <c r="E378" s="171" t="s">
        <v>138</v>
      </c>
      <c r="F378" s="38"/>
      <c r="G378" s="181" t="s">
        <v>466</v>
      </c>
      <c r="H378" s="216" t="s">
        <v>22</v>
      </c>
      <c r="I378" s="282">
        <f>I379+I381+I380</f>
        <v>49000</v>
      </c>
      <c r="J378" s="282">
        <f>J379+J381+J380</f>
        <v>26120</v>
      </c>
      <c r="K378" s="282">
        <f>K379+K381+K380</f>
        <v>75120</v>
      </c>
      <c r="L378" s="34">
        <f>L379</f>
        <v>190400</v>
      </c>
      <c r="M378" s="34">
        <f>M379</f>
        <v>180400</v>
      </c>
      <c r="N378" s="410"/>
      <c r="O378" s="196"/>
    </row>
    <row r="379" spans="1:18" s="50" customFormat="1" ht="20.100000000000001" hidden="1" customHeight="1" x14ac:dyDescent="0.25">
      <c r="A379" s="174"/>
      <c r="B379" s="174"/>
      <c r="C379" s="174"/>
      <c r="D379" s="174"/>
      <c r="E379" s="171"/>
      <c r="F379" s="38" t="s">
        <v>140</v>
      </c>
      <c r="G379" s="181" t="s">
        <v>466</v>
      </c>
      <c r="H379" s="216" t="s">
        <v>22</v>
      </c>
      <c r="I379" s="282">
        <v>48000</v>
      </c>
      <c r="J379" s="282">
        <f>K379-I379</f>
        <v>0</v>
      </c>
      <c r="K379" s="282">
        <v>48000</v>
      </c>
      <c r="L379" s="49">
        <f>230400-40000</f>
        <v>190400</v>
      </c>
      <c r="M379" s="49">
        <f>220400-40000</f>
        <v>180400</v>
      </c>
      <c r="N379" s="410"/>
      <c r="O379" s="196"/>
      <c r="P379" s="275"/>
    </row>
    <row r="380" spans="1:18" s="50" customFormat="1" ht="20.100000000000001" hidden="1" customHeight="1" x14ac:dyDescent="0.25">
      <c r="A380" s="174"/>
      <c r="B380" s="174"/>
      <c r="C380" s="174"/>
      <c r="D380" s="174"/>
      <c r="E380" s="171"/>
      <c r="F380" s="400" t="s">
        <v>140</v>
      </c>
      <c r="G380" s="399" t="s">
        <v>448</v>
      </c>
      <c r="H380" s="216" t="s">
        <v>22</v>
      </c>
      <c r="I380" s="401">
        <v>0</v>
      </c>
      <c r="J380" s="401">
        <f>K380-I380</f>
        <v>26120</v>
      </c>
      <c r="K380" s="401">
        <v>26120</v>
      </c>
      <c r="L380" s="49"/>
      <c r="M380" s="49"/>
      <c r="N380" s="410"/>
      <c r="O380" s="196"/>
      <c r="P380" s="275"/>
    </row>
    <row r="381" spans="1:18" s="50" customFormat="1" ht="20.100000000000001" hidden="1" customHeight="1" x14ac:dyDescent="0.25">
      <c r="A381" s="174"/>
      <c r="B381" s="174"/>
      <c r="C381" s="174"/>
      <c r="D381" s="174"/>
      <c r="E381" s="171"/>
      <c r="F381" s="38" t="s">
        <v>140</v>
      </c>
      <c r="G381" s="181" t="s">
        <v>448</v>
      </c>
      <c r="H381" s="216" t="s">
        <v>22</v>
      </c>
      <c r="I381" s="282">
        <v>1000</v>
      </c>
      <c r="J381" s="282">
        <f>K381-I381</f>
        <v>0</v>
      </c>
      <c r="K381" s="282">
        <v>1000</v>
      </c>
      <c r="L381" s="49"/>
      <c r="M381" s="49"/>
      <c r="N381" s="410"/>
      <c r="O381" s="196"/>
      <c r="P381" s="275"/>
    </row>
    <row r="382" spans="1:18" ht="20.100000000000001" hidden="1" customHeight="1" x14ac:dyDescent="0.25">
      <c r="A382" s="174"/>
      <c r="B382" s="174"/>
      <c r="C382" s="174"/>
      <c r="D382" s="174">
        <v>3223</v>
      </c>
      <c r="E382" s="174"/>
      <c r="F382" s="44"/>
      <c r="G382" s="181" t="s">
        <v>466</v>
      </c>
      <c r="H382" s="216" t="s">
        <v>22</v>
      </c>
      <c r="I382" s="282">
        <f>I383+I386+I388</f>
        <v>38000.229999999996</v>
      </c>
      <c r="J382" s="282">
        <f>J383+J386+J388</f>
        <v>0</v>
      </c>
      <c r="K382" s="282">
        <f>K383+K386+K388</f>
        <v>38000.229999999996</v>
      </c>
      <c r="L382" s="34">
        <f>L383+L386+L388</f>
        <v>205700</v>
      </c>
      <c r="M382" s="34">
        <f>M383+M386+M388</f>
        <v>205700</v>
      </c>
      <c r="N382" s="410"/>
      <c r="O382" s="196"/>
      <c r="P382" s="412"/>
      <c r="Q382" s="194"/>
      <c r="R382" s="194"/>
    </row>
    <row r="383" spans="1:18" ht="20.100000000000001" hidden="1" customHeight="1" x14ac:dyDescent="0.25">
      <c r="A383" s="174"/>
      <c r="B383" s="174"/>
      <c r="C383" s="174"/>
      <c r="D383" s="174"/>
      <c r="E383" s="171" t="s">
        <v>141</v>
      </c>
      <c r="F383" s="38"/>
      <c r="G383" s="181" t="s">
        <v>466</v>
      </c>
      <c r="H383" s="216" t="s">
        <v>22</v>
      </c>
      <c r="I383" s="282">
        <f>I384+I385</f>
        <v>14500.23</v>
      </c>
      <c r="J383" s="282">
        <f>J384+J385</f>
        <v>0</v>
      </c>
      <c r="K383" s="282">
        <f>K384+K385</f>
        <v>14500.23</v>
      </c>
      <c r="L383" s="34">
        <f>L384+L385</f>
        <v>75700</v>
      </c>
      <c r="M383" s="34">
        <f>M384+M385</f>
        <v>75700</v>
      </c>
      <c r="N383" s="410"/>
      <c r="O383" s="196"/>
      <c r="P383" s="412"/>
      <c r="Q383" s="194"/>
      <c r="R383" s="194"/>
    </row>
    <row r="384" spans="1:18" ht="20.100000000000001" hidden="1" customHeight="1" x14ac:dyDescent="0.25">
      <c r="A384" s="174"/>
      <c r="B384" s="174"/>
      <c r="C384" s="174"/>
      <c r="D384" s="174"/>
      <c r="E384" s="171"/>
      <c r="F384" s="38" t="s">
        <v>143</v>
      </c>
      <c r="G384" s="181" t="s">
        <v>466</v>
      </c>
      <c r="H384" s="216" t="s">
        <v>22</v>
      </c>
      <c r="I384" s="282">
        <v>4500</v>
      </c>
      <c r="J384" s="282">
        <f>K384-I384</f>
        <v>0</v>
      </c>
      <c r="K384" s="282">
        <v>4500</v>
      </c>
      <c r="L384" s="34">
        <v>35700</v>
      </c>
      <c r="M384" s="34">
        <v>35700</v>
      </c>
      <c r="N384" s="410"/>
      <c r="O384" s="196"/>
      <c r="P384" s="412"/>
      <c r="Q384" s="194"/>
      <c r="R384" s="194"/>
    </row>
    <row r="385" spans="1:18" ht="20.100000000000001" hidden="1" customHeight="1" x14ac:dyDescent="0.25">
      <c r="A385" s="174"/>
      <c r="B385" s="174"/>
      <c r="C385" s="174"/>
      <c r="D385" s="174"/>
      <c r="E385" s="171"/>
      <c r="F385" s="38" t="s">
        <v>144</v>
      </c>
      <c r="G385" s="181" t="s">
        <v>466</v>
      </c>
      <c r="H385" s="216" t="s">
        <v>22</v>
      </c>
      <c r="I385" s="282">
        <f>10000+0.23</f>
        <v>10000.23</v>
      </c>
      <c r="J385" s="282">
        <f>K385-I385</f>
        <v>0</v>
      </c>
      <c r="K385" s="282">
        <f>10000+0.23</f>
        <v>10000.23</v>
      </c>
      <c r="L385" s="34">
        <v>40000</v>
      </c>
      <c r="M385" s="34">
        <v>40000</v>
      </c>
      <c r="N385" s="410"/>
      <c r="O385" s="196"/>
      <c r="P385" s="412"/>
      <c r="Q385" s="194"/>
      <c r="R385" s="194"/>
    </row>
    <row r="386" spans="1:18" ht="20.100000000000001" hidden="1" customHeight="1" x14ac:dyDescent="0.25">
      <c r="A386" s="174"/>
      <c r="B386" s="174"/>
      <c r="C386" s="174"/>
      <c r="D386" s="174"/>
      <c r="E386" s="171" t="s">
        <v>146</v>
      </c>
      <c r="F386" s="38"/>
      <c r="G386" s="181" t="s">
        <v>466</v>
      </c>
      <c r="H386" s="216" t="s">
        <v>22</v>
      </c>
      <c r="I386" s="282">
        <f>I387</f>
        <v>11000</v>
      </c>
      <c r="J386" s="282">
        <f>J387</f>
        <v>0</v>
      </c>
      <c r="K386" s="282">
        <f>K387</f>
        <v>11000</v>
      </c>
      <c r="L386" s="34">
        <f>L387</f>
        <v>70000</v>
      </c>
      <c r="M386" s="34">
        <f>M387</f>
        <v>70000</v>
      </c>
      <c r="N386" s="410"/>
      <c r="O386" s="196"/>
      <c r="P386" s="412"/>
      <c r="Q386" s="194"/>
      <c r="R386" s="194"/>
    </row>
    <row r="387" spans="1:18" ht="20.100000000000001" hidden="1" customHeight="1" x14ac:dyDescent="0.25">
      <c r="A387" s="174"/>
      <c r="B387" s="174"/>
      <c r="C387" s="174"/>
      <c r="D387" s="174"/>
      <c r="E387" s="171"/>
      <c r="F387" s="38" t="s">
        <v>148</v>
      </c>
      <c r="G387" s="181" t="s">
        <v>466</v>
      </c>
      <c r="H387" s="216" t="s">
        <v>22</v>
      </c>
      <c r="I387" s="282">
        <v>11000</v>
      </c>
      <c r="J387" s="282">
        <f>K387-I387</f>
        <v>0</v>
      </c>
      <c r="K387" s="282">
        <v>11000</v>
      </c>
      <c r="L387" s="34">
        <v>70000</v>
      </c>
      <c r="M387" s="34">
        <v>70000</v>
      </c>
      <c r="N387" s="410"/>
      <c r="O387" s="196"/>
      <c r="P387" s="412"/>
      <c r="Q387" s="194"/>
      <c r="R387" s="194"/>
    </row>
    <row r="388" spans="1:18" ht="20.100000000000001" hidden="1" customHeight="1" x14ac:dyDescent="0.25">
      <c r="A388" s="174"/>
      <c r="B388" s="174"/>
      <c r="C388" s="174"/>
      <c r="D388" s="174"/>
      <c r="E388" s="171" t="s">
        <v>149</v>
      </c>
      <c r="F388" s="38"/>
      <c r="G388" s="181" t="s">
        <v>466</v>
      </c>
      <c r="H388" s="216" t="s">
        <v>22</v>
      </c>
      <c r="I388" s="282">
        <f>I389</f>
        <v>12500</v>
      </c>
      <c r="J388" s="282">
        <f>J389</f>
        <v>0</v>
      </c>
      <c r="K388" s="282">
        <f>K389</f>
        <v>12500</v>
      </c>
      <c r="L388" s="34">
        <f>L389</f>
        <v>60000</v>
      </c>
      <c r="M388" s="34">
        <f>M389</f>
        <v>60000</v>
      </c>
      <c r="N388" s="410"/>
      <c r="O388" s="196"/>
      <c r="P388" s="412"/>
      <c r="Q388" s="194"/>
      <c r="R388" s="194"/>
    </row>
    <row r="389" spans="1:18" ht="20.100000000000001" hidden="1" customHeight="1" x14ac:dyDescent="0.25">
      <c r="A389" s="174"/>
      <c r="B389" s="174"/>
      <c r="C389" s="174"/>
      <c r="D389" s="174"/>
      <c r="E389" s="171"/>
      <c r="F389" s="38" t="s">
        <v>151</v>
      </c>
      <c r="G389" s="181" t="s">
        <v>466</v>
      </c>
      <c r="H389" s="216" t="s">
        <v>22</v>
      </c>
      <c r="I389" s="282">
        <v>12500</v>
      </c>
      <c r="J389" s="282">
        <f>K389-I389</f>
        <v>0</v>
      </c>
      <c r="K389" s="282">
        <v>12500</v>
      </c>
      <c r="L389" s="34">
        <v>60000</v>
      </c>
      <c r="M389" s="34">
        <v>60000</v>
      </c>
      <c r="N389" s="410"/>
      <c r="O389" s="196"/>
      <c r="P389" s="412"/>
      <c r="Q389" s="194"/>
      <c r="R389" s="194"/>
    </row>
    <row r="390" spans="1:18" ht="30" hidden="1" customHeight="1" x14ac:dyDescent="0.25">
      <c r="A390" s="174"/>
      <c r="B390" s="174"/>
      <c r="C390" s="174"/>
      <c r="D390" s="174">
        <v>3224</v>
      </c>
      <c r="E390" s="174"/>
      <c r="F390" s="44"/>
      <c r="G390" s="181" t="s">
        <v>466</v>
      </c>
      <c r="H390" s="216" t="s">
        <v>22</v>
      </c>
      <c r="I390" s="282">
        <f t="shared" ref="I390:M391" si="62">I391</f>
        <v>3800</v>
      </c>
      <c r="J390" s="282">
        <f t="shared" si="62"/>
        <v>0</v>
      </c>
      <c r="K390" s="282">
        <f t="shared" si="62"/>
        <v>3800</v>
      </c>
      <c r="L390" s="34">
        <f t="shared" si="62"/>
        <v>1000</v>
      </c>
      <c r="M390" s="34">
        <f t="shared" si="62"/>
        <v>1000</v>
      </c>
      <c r="N390" s="410"/>
      <c r="O390" s="196"/>
      <c r="P390" s="412"/>
      <c r="Q390" s="194"/>
      <c r="R390" s="194"/>
    </row>
    <row r="391" spans="1:18" ht="30" hidden="1" customHeight="1" x14ac:dyDescent="0.25">
      <c r="A391" s="174"/>
      <c r="B391" s="174"/>
      <c r="C391" s="174"/>
      <c r="D391" s="174"/>
      <c r="E391" s="171" t="s">
        <v>153</v>
      </c>
      <c r="F391" s="38"/>
      <c r="G391" s="181" t="s">
        <v>466</v>
      </c>
      <c r="H391" s="216" t="s">
        <v>22</v>
      </c>
      <c r="I391" s="282">
        <f>I392</f>
        <v>3800</v>
      </c>
      <c r="J391" s="282">
        <f t="shared" si="62"/>
        <v>0</v>
      </c>
      <c r="K391" s="282">
        <f>K392</f>
        <v>3800</v>
      </c>
      <c r="L391" s="34">
        <f t="shared" si="62"/>
        <v>1000</v>
      </c>
      <c r="M391" s="34">
        <f t="shared" si="62"/>
        <v>1000</v>
      </c>
      <c r="N391" s="410"/>
      <c r="O391" s="196"/>
      <c r="P391" s="412"/>
      <c r="Q391" s="194"/>
      <c r="R391" s="194"/>
    </row>
    <row r="392" spans="1:18" ht="30" hidden="1" customHeight="1" x14ac:dyDescent="0.25">
      <c r="A392" s="174"/>
      <c r="B392" s="174"/>
      <c r="C392" s="174"/>
      <c r="D392" s="174"/>
      <c r="E392" s="171"/>
      <c r="F392" s="38" t="s">
        <v>155</v>
      </c>
      <c r="G392" s="181" t="s">
        <v>466</v>
      </c>
      <c r="H392" s="216" t="s">
        <v>22</v>
      </c>
      <c r="I392" s="282">
        <f>4300-500</f>
        <v>3800</v>
      </c>
      <c r="J392" s="282">
        <f>K392-I392</f>
        <v>0</v>
      </c>
      <c r="K392" s="282">
        <f>4300-500</f>
        <v>3800</v>
      </c>
      <c r="L392" s="34">
        <v>1000</v>
      </c>
      <c r="M392" s="34">
        <v>1000</v>
      </c>
      <c r="N392" s="410"/>
      <c r="O392" s="196"/>
      <c r="P392" s="412"/>
      <c r="Q392" s="194"/>
      <c r="R392" s="194"/>
    </row>
    <row r="393" spans="1:18" ht="20.100000000000001" hidden="1" customHeight="1" x14ac:dyDescent="0.25">
      <c r="A393" s="174"/>
      <c r="B393" s="174"/>
      <c r="C393" s="174"/>
      <c r="D393" s="174">
        <v>3225</v>
      </c>
      <c r="E393" s="174"/>
      <c r="F393" s="44"/>
      <c r="G393" s="181" t="s">
        <v>466</v>
      </c>
      <c r="H393" s="216" t="s">
        <v>22</v>
      </c>
      <c r="I393" s="282">
        <f>I394+I396</f>
        <v>6800</v>
      </c>
      <c r="J393" s="282">
        <f>J394+J396</f>
        <v>2000</v>
      </c>
      <c r="K393" s="282">
        <f>K394+K396</f>
        <v>8800</v>
      </c>
      <c r="L393" s="34">
        <f>L394+L396</f>
        <v>10000</v>
      </c>
      <c r="M393" s="34">
        <f>M394+M396</f>
        <v>10000</v>
      </c>
      <c r="N393" s="410"/>
      <c r="O393" s="196"/>
      <c r="P393" s="412"/>
      <c r="Q393" s="194"/>
      <c r="R393" s="194"/>
    </row>
    <row r="394" spans="1:18" ht="20.100000000000001" hidden="1" customHeight="1" x14ac:dyDescent="0.25">
      <c r="A394" s="174"/>
      <c r="B394" s="174"/>
      <c r="C394" s="174"/>
      <c r="D394" s="174"/>
      <c r="E394" s="171" t="s">
        <v>157</v>
      </c>
      <c r="F394" s="38"/>
      <c r="G394" s="181" t="s">
        <v>466</v>
      </c>
      <c r="H394" s="216" t="s">
        <v>22</v>
      </c>
      <c r="I394" s="282">
        <f>I395</f>
        <v>4200</v>
      </c>
      <c r="J394" s="282">
        <f>J395</f>
        <v>2000</v>
      </c>
      <c r="K394" s="282">
        <f>K395</f>
        <v>6200</v>
      </c>
      <c r="L394" s="34">
        <f>L395</f>
        <v>8000</v>
      </c>
      <c r="M394" s="34">
        <f>M395</f>
        <v>8000</v>
      </c>
      <c r="N394" s="410"/>
      <c r="O394" s="196"/>
      <c r="P394" s="412"/>
      <c r="Q394" s="194"/>
      <c r="R394" s="194"/>
    </row>
    <row r="395" spans="1:18" ht="20.100000000000001" hidden="1" customHeight="1" x14ac:dyDescent="0.25">
      <c r="A395" s="174"/>
      <c r="B395" s="174"/>
      <c r="C395" s="174"/>
      <c r="D395" s="174"/>
      <c r="E395" s="171"/>
      <c r="F395" s="38" t="s">
        <v>159</v>
      </c>
      <c r="G395" s="181" t="s">
        <v>466</v>
      </c>
      <c r="H395" s="216" t="s">
        <v>22</v>
      </c>
      <c r="I395" s="282">
        <f>3700+500</f>
        <v>4200</v>
      </c>
      <c r="J395" s="282">
        <f>K395-I395</f>
        <v>2000</v>
      </c>
      <c r="K395" s="282">
        <f>3700+500+2000</f>
        <v>6200</v>
      </c>
      <c r="L395" s="34">
        <v>8000</v>
      </c>
      <c r="M395" s="34">
        <v>8000</v>
      </c>
      <c r="N395" s="410"/>
      <c r="O395" s="196"/>
      <c r="P395" s="412"/>
      <c r="Q395" s="194"/>
      <c r="R395" s="194"/>
    </row>
    <row r="396" spans="1:18" ht="20.100000000000001" hidden="1" customHeight="1" x14ac:dyDescent="0.25">
      <c r="A396" s="174"/>
      <c r="B396" s="174"/>
      <c r="C396" s="174"/>
      <c r="D396" s="174"/>
      <c r="E396" s="171" t="s">
        <v>160</v>
      </c>
      <c r="F396" s="38"/>
      <c r="G396" s="181" t="s">
        <v>466</v>
      </c>
      <c r="H396" s="216" t="s">
        <v>22</v>
      </c>
      <c r="I396" s="282">
        <f>I397</f>
        <v>2600</v>
      </c>
      <c r="J396" s="282">
        <f>J397</f>
        <v>0</v>
      </c>
      <c r="K396" s="282">
        <f>K397</f>
        <v>2600</v>
      </c>
      <c r="L396" s="34">
        <f>L397</f>
        <v>2000</v>
      </c>
      <c r="M396" s="34">
        <f>M397</f>
        <v>2000</v>
      </c>
      <c r="N396" s="410"/>
      <c r="O396" s="196"/>
      <c r="P396" s="412"/>
      <c r="Q396" s="194"/>
      <c r="R396" s="194"/>
    </row>
    <row r="397" spans="1:18" ht="20.100000000000001" hidden="1" customHeight="1" x14ac:dyDescent="0.25">
      <c r="A397" s="174"/>
      <c r="B397" s="174"/>
      <c r="C397" s="174"/>
      <c r="D397" s="174"/>
      <c r="E397" s="171"/>
      <c r="F397" s="38" t="s">
        <v>162</v>
      </c>
      <c r="G397" s="181" t="s">
        <v>466</v>
      </c>
      <c r="H397" s="216" t="s">
        <v>22</v>
      </c>
      <c r="I397" s="282">
        <v>2600</v>
      </c>
      <c r="J397" s="282">
        <f>K397-I397</f>
        <v>0</v>
      </c>
      <c r="K397" s="282">
        <v>2600</v>
      </c>
      <c r="L397" s="34">
        <v>2000</v>
      </c>
      <c r="M397" s="34">
        <v>2000</v>
      </c>
      <c r="N397" s="410"/>
      <c r="O397" s="196"/>
    </row>
    <row r="398" spans="1:18" ht="20.100000000000001" hidden="1" customHeight="1" x14ac:dyDescent="0.25">
      <c r="A398" s="174"/>
      <c r="B398" s="174"/>
      <c r="C398" s="174"/>
      <c r="D398" s="174">
        <v>3227</v>
      </c>
      <c r="E398" s="174"/>
      <c r="F398" s="44"/>
      <c r="G398" s="181" t="s">
        <v>466</v>
      </c>
      <c r="H398" s="216" t="s">
        <v>22</v>
      </c>
      <c r="I398" s="282">
        <f t="shared" ref="I398:M399" si="63">I399</f>
        <v>4500</v>
      </c>
      <c r="J398" s="282">
        <f t="shared" si="63"/>
        <v>2000</v>
      </c>
      <c r="K398" s="282">
        <f t="shared" si="63"/>
        <v>6500</v>
      </c>
      <c r="L398" s="34">
        <f t="shared" si="63"/>
        <v>20000</v>
      </c>
      <c r="M398" s="34">
        <f t="shared" si="63"/>
        <v>5000</v>
      </c>
      <c r="N398" s="410"/>
      <c r="O398" s="196"/>
    </row>
    <row r="399" spans="1:18" ht="20.100000000000001" hidden="1" customHeight="1" x14ac:dyDescent="0.25">
      <c r="A399" s="174"/>
      <c r="B399" s="174"/>
      <c r="C399" s="174"/>
      <c r="D399" s="174"/>
      <c r="E399" s="171" t="s">
        <v>163</v>
      </c>
      <c r="F399" s="38"/>
      <c r="G399" s="181" t="s">
        <v>466</v>
      </c>
      <c r="H399" s="216" t="s">
        <v>22</v>
      </c>
      <c r="I399" s="282">
        <f t="shared" si="63"/>
        <v>4500</v>
      </c>
      <c r="J399" s="282">
        <f t="shared" si="63"/>
        <v>2000</v>
      </c>
      <c r="K399" s="282">
        <f t="shared" si="63"/>
        <v>6500</v>
      </c>
      <c r="L399" s="34">
        <f t="shared" si="63"/>
        <v>20000</v>
      </c>
      <c r="M399" s="34">
        <f t="shared" si="63"/>
        <v>5000</v>
      </c>
      <c r="N399" s="410"/>
      <c r="O399" s="196"/>
    </row>
    <row r="400" spans="1:18" ht="20.100000000000001" hidden="1" customHeight="1" x14ac:dyDescent="0.25">
      <c r="A400" s="174"/>
      <c r="B400" s="174"/>
      <c r="C400" s="174"/>
      <c r="D400" s="174"/>
      <c r="E400" s="171"/>
      <c r="F400" s="38" t="s">
        <v>165</v>
      </c>
      <c r="G400" s="181" t="s">
        <v>466</v>
      </c>
      <c r="H400" s="216" t="s">
        <v>22</v>
      </c>
      <c r="I400" s="282">
        <v>4500</v>
      </c>
      <c r="J400" s="282">
        <f>K400-I400</f>
        <v>2000</v>
      </c>
      <c r="K400" s="282">
        <f>4500+2000</f>
        <v>6500</v>
      </c>
      <c r="L400" s="34">
        <v>20000</v>
      </c>
      <c r="M400" s="34">
        <f>10000-5000</f>
        <v>5000</v>
      </c>
      <c r="N400" s="410"/>
      <c r="O400" s="196"/>
    </row>
    <row r="401" spans="1:18" s="150" customFormat="1" ht="20.100000000000001" hidden="1" customHeight="1" x14ac:dyDescent="0.25">
      <c r="A401" s="176"/>
      <c r="B401" s="176"/>
      <c r="C401" s="172">
        <v>323</v>
      </c>
      <c r="D401" s="172"/>
      <c r="E401" s="172"/>
      <c r="F401" s="42"/>
      <c r="G401" s="181" t="s">
        <v>466</v>
      </c>
      <c r="H401" s="216" t="s">
        <v>22</v>
      </c>
      <c r="I401" s="281">
        <f>I402+I412+I417+I420+I428+I435+I440+I448+I451</f>
        <v>378742.23</v>
      </c>
      <c r="J401" s="281">
        <f>J402+J412+J417+J420+J428+J435+J440+J448+J451</f>
        <v>-12400</v>
      </c>
      <c r="K401" s="281">
        <f>K402+K412+K417+K420+K428+K435+K440+K448+K451</f>
        <v>366342.23</v>
      </c>
      <c r="L401" s="148">
        <f>L402+L412+L417+L420+L428+L435+L440+L448+L451</f>
        <v>1411700</v>
      </c>
      <c r="M401" s="148">
        <f>M402+M412+M417+M420+M428+M435+M440+M448+M451</f>
        <v>1408500</v>
      </c>
      <c r="N401" s="410"/>
      <c r="O401" s="196"/>
      <c r="P401" s="270"/>
      <c r="Q401" s="149"/>
      <c r="R401" s="149"/>
    </row>
    <row r="402" spans="1:18" s="268" customFormat="1" ht="20.100000000000001" hidden="1" customHeight="1" x14ac:dyDescent="0.25">
      <c r="A402" s="174"/>
      <c r="B402" s="174"/>
      <c r="C402" s="174"/>
      <c r="D402" s="174">
        <v>3231</v>
      </c>
      <c r="E402" s="174"/>
      <c r="F402" s="44"/>
      <c r="G402" s="181" t="s">
        <v>466</v>
      </c>
      <c r="H402" s="216" t="s">
        <v>22</v>
      </c>
      <c r="I402" s="282">
        <f t="shared" ref="I402:K402" si="64">I403+I405+I407+I409</f>
        <v>20200</v>
      </c>
      <c r="J402" s="282">
        <f t="shared" si="64"/>
        <v>500</v>
      </c>
      <c r="K402" s="282">
        <f t="shared" si="64"/>
        <v>20700</v>
      </c>
      <c r="L402" s="34">
        <f>L403+L405+L407+L409</f>
        <v>78650</v>
      </c>
      <c r="M402" s="34">
        <f>M403+M405+M407+M409</f>
        <v>78650</v>
      </c>
      <c r="N402" s="410"/>
      <c r="O402" s="196"/>
      <c r="P402" s="411"/>
    </row>
    <row r="403" spans="1:18" ht="20.100000000000001" hidden="1" customHeight="1" x14ac:dyDescent="0.25">
      <c r="A403" s="174"/>
      <c r="B403" s="174"/>
      <c r="C403" s="174"/>
      <c r="D403" s="174"/>
      <c r="E403" s="171" t="s">
        <v>167</v>
      </c>
      <c r="F403" s="38"/>
      <c r="G403" s="181" t="s">
        <v>466</v>
      </c>
      <c r="H403" s="216" t="s">
        <v>22</v>
      </c>
      <c r="I403" s="282">
        <f>I404</f>
        <v>15000</v>
      </c>
      <c r="J403" s="282">
        <f>J404</f>
        <v>0</v>
      </c>
      <c r="K403" s="282">
        <f>K404</f>
        <v>15000</v>
      </c>
      <c r="L403" s="34">
        <f>L404</f>
        <v>50000</v>
      </c>
      <c r="M403" s="34">
        <f>M404</f>
        <v>50000</v>
      </c>
      <c r="N403" s="410"/>
      <c r="O403" s="196"/>
    </row>
    <row r="404" spans="1:18" ht="20.100000000000001" hidden="1" customHeight="1" x14ac:dyDescent="0.25">
      <c r="A404" s="174"/>
      <c r="B404" s="174"/>
      <c r="C404" s="174"/>
      <c r="D404" s="174"/>
      <c r="E404" s="171"/>
      <c r="F404" s="38" t="s">
        <v>169</v>
      </c>
      <c r="G404" s="181" t="s">
        <v>466</v>
      </c>
      <c r="H404" s="216" t="s">
        <v>22</v>
      </c>
      <c r="I404" s="282">
        <v>15000</v>
      </c>
      <c r="J404" s="282">
        <f>K404-I404</f>
        <v>0</v>
      </c>
      <c r="K404" s="282">
        <v>15000</v>
      </c>
      <c r="L404" s="34">
        <f>55000-5000</f>
        <v>50000</v>
      </c>
      <c r="M404" s="34">
        <f>55000-5000</f>
        <v>50000</v>
      </c>
      <c r="N404" s="410"/>
      <c r="O404" s="196"/>
    </row>
    <row r="405" spans="1:18" ht="20.100000000000001" hidden="1" customHeight="1" x14ac:dyDescent="0.25">
      <c r="A405" s="174"/>
      <c r="B405" s="174"/>
      <c r="C405" s="174"/>
      <c r="D405" s="174"/>
      <c r="E405" s="171" t="s">
        <v>170</v>
      </c>
      <c r="F405" s="38"/>
      <c r="G405" s="181" t="s">
        <v>466</v>
      </c>
      <c r="H405" s="216" t="s">
        <v>22</v>
      </c>
      <c r="I405" s="282">
        <f>I406</f>
        <v>0</v>
      </c>
      <c r="J405" s="282">
        <f>J406</f>
        <v>0</v>
      </c>
      <c r="K405" s="282">
        <f>K406</f>
        <v>0</v>
      </c>
      <c r="L405" s="34">
        <f>L406</f>
        <v>7150</v>
      </c>
      <c r="M405" s="34">
        <f>M406</f>
        <v>7150</v>
      </c>
      <c r="N405" s="410"/>
      <c r="O405" s="196"/>
    </row>
    <row r="406" spans="1:18" ht="20.100000000000001" hidden="1" customHeight="1" x14ac:dyDescent="0.25">
      <c r="A406" s="174"/>
      <c r="B406" s="174"/>
      <c r="C406" s="174"/>
      <c r="D406" s="174"/>
      <c r="E406" s="171"/>
      <c r="F406" s="38" t="s">
        <v>172</v>
      </c>
      <c r="G406" s="181" t="s">
        <v>466</v>
      </c>
      <c r="H406" s="216" t="s">
        <v>22</v>
      </c>
      <c r="I406" s="282">
        <v>0</v>
      </c>
      <c r="J406" s="282">
        <f>K406-I406</f>
        <v>0</v>
      </c>
      <c r="K406" s="282">
        <v>0</v>
      </c>
      <c r="L406" s="34">
        <v>7150</v>
      </c>
      <c r="M406" s="34">
        <v>7150</v>
      </c>
      <c r="N406" s="410"/>
      <c r="O406" s="196"/>
    </row>
    <row r="407" spans="1:18" ht="20.100000000000001" hidden="1" customHeight="1" x14ac:dyDescent="0.25">
      <c r="A407" s="174"/>
      <c r="B407" s="174"/>
      <c r="C407" s="174"/>
      <c r="D407" s="174"/>
      <c r="E407" s="171" t="s">
        <v>173</v>
      </c>
      <c r="F407" s="38"/>
      <c r="G407" s="181" t="s">
        <v>466</v>
      </c>
      <c r="H407" s="216" t="s">
        <v>22</v>
      </c>
      <c r="I407" s="282">
        <f>I408</f>
        <v>3200</v>
      </c>
      <c r="J407" s="282">
        <f>J408</f>
        <v>500</v>
      </c>
      <c r="K407" s="282">
        <f>K408</f>
        <v>3700</v>
      </c>
      <c r="L407" s="34">
        <f>L408</f>
        <v>19500</v>
      </c>
      <c r="M407" s="34">
        <f>M408</f>
        <v>19500</v>
      </c>
      <c r="N407" s="410"/>
      <c r="O407" s="196"/>
    </row>
    <row r="408" spans="1:18" ht="20.100000000000001" hidden="1" customHeight="1" x14ac:dyDescent="0.25">
      <c r="A408" s="174"/>
      <c r="B408" s="174"/>
      <c r="C408" s="174"/>
      <c r="D408" s="174"/>
      <c r="E408" s="171"/>
      <c r="F408" s="38" t="s">
        <v>175</v>
      </c>
      <c r="G408" s="181" t="s">
        <v>466</v>
      </c>
      <c r="H408" s="216" t="s">
        <v>22</v>
      </c>
      <c r="I408" s="282">
        <f>2200+1000</f>
        <v>3200</v>
      </c>
      <c r="J408" s="282">
        <f>K408-I408</f>
        <v>500</v>
      </c>
      <c r="K408" s="282">
        <f>2200+1000+500</f>
        <v>3700</v>
      </c>
      <c r="L408" s="34">
        <f>25000-5500</f>
        <v>19500</v>
      </c>
      <c r="M408" s="34">
        <f>25000-5500</f>
        <v>19500</v>
      </c>
      <c r="N408" s="410"/>
      <c r="O408" s="196"/>
    </row>
    <row r="409" spans="1:18" ht="20.100000000000001" hidden="1" customHeight="1" x14ac:dyDescent="0.25">
      <c r="A409" s="174"/>
      <c r="B409" s="174"/>
      <c r="C409" s="174"/>
      <c r="D409" s="174"/>
      <c r="E409" s="171" t="s">
        <v>176</v>
      </c>
      <c r="F409" s="38"/>
      <c r="G409" s="181" t="s">
        <v>466</v>
      </c>
      <c r="H409" s="216" t="s">
        <v>22</v>
      </c>
      <c r="I409" s="282">
        <f>I410+I411</f>
        <v>2000</v>
      </c>
      <c r="J409" s="282">
        <f>J411+J410</f>
        <v>0</v>
      </c>
      <c r="K409" s="282">
        <f>K410+K411</f>
        <v>2000</v>
      </c>
      <c r="L409" s="34">
        <f>L410</f>
        <v>2000</v>
      </c>
      <c r="M409" s="34">
        <f>M410</f>
        <v>2000</v>
      </c>
      <c r="N409" s="410"/>
      <c r="O409" s="196"/>
      <c r="Q409" s="194"/>
      <c r="R409" s="194"/>
    </row>
    <row r="410" spans="1:18" ht="20.100000000000001" hidden="1" customHeight="1" x14ac:dyDescent="0.25">
      <c r="A410" s="174"/>
      <c r="B410" s="174"/>
      <c r="C410" s="174"/>
      <c r="D410" s="174"/>
      <c r="E410" s="171"/>
      <c r="F410" s="38" t="s">
        <v>178</v>
      </c>
      <c r="G410" s="181" t="s">
        <v>466</v>
      </c>
      <c r="H410" s="216" t="s">
        <v>22</v>
      </c>
      <c r="I410" s="282">
        <v>270</v>
      </c>
      <c r="J410" s="282">
        <f>K410-I410</f>
        <v>0</v>
      </c>
      <c r="K410" s="282">
        <v>270</v>
      </c>
      <c r="L410" s="34">
        <v>2000</v>
      </c>
      <c r="M410" s="34">
        <v>2000</v>
      </c>
      <c r="N410" s="410"/>
      <c r="O410" s="196"/>
      <c r="Q410" s="194"/>
      <c r="R410" s="194"/>
    </row>
    <row r="411" spans="1:18" ht="20.100000000000001" hidden="1" customHeight="1" x14ac:dyDescent="0.25">
      <c r="A411" s="174"/>
      <c r="B411" s="174"/>
      <c r="C411" s="174"/>
      <c r="D411" s="174"/>
      <c r="E411" s="171"/>
      <c r="F411" s="38" t="s">
        <v>457</v>
      </c>
      <c r="G411" s="181" t="s">
        <v>466</v>
      </c>
      <c r="H411" s="216" t="s">
        <v>22</v>
      </c>
      <c r="I411" s="282">
        <v>1730</v>
      </c>
      <c r="J411" s="282">
        <f>K411-I411</f>
        <v>0</v>
      </c>
      <c r="K411" s="282">
        <v>1730</v>
      </c>
      <c r="L411" s="34"/>
      <c r="M411" s="34"/>
      <c r="N411" s="410"/>
      <c r="O411" s="196"/>
      <c r="Q411" s="194"/>
      <c r="R411" s="194"/>
    </row>
    <row r="412" spans="1:18" ht="20.100000000000001" hidden="1" customHeight="1" x14ac:dyDescent="0.25">
      <c r="A412" s="174"/>
      <c r="B412" s="174"/>
      <c r="C412" s="174"/>
      <c r="D412" s="174">
        <v>3232</v>
      </c>
      <c r="E412" s="174"/>
      <c r="F412" s="44"/>
      <c r="G412" s="181" t="s">
        <v>466</v>
      </c>
      <c r="H412" s="216" t="s">
        <v>22</v>
      </c>
      <c r="I412" s="282">
        <f>I413+I415</f>
        <v>98642.23</v>
      </c>
      <c r="J412" s="282">
        <f>J413+J415</f>
        <v>-14000</v>
      </c>
      <c r="K412" s="282">
        <f>K413+K415</f>
        <v>84642.23</v>
      </c>
      <c r="L412" s="34">
        <f t="shared" ref="J412:M413" si="65">L413</f>
        <v>78700</v>
      </c>
      <c r="M412" s="34">
        <f t="shared" si="65"/>
        <v>75500</v>
      </c>
      <c r="N412" s="410"/>
      <c r="O412" s="196"/>
      <c r="Q412" s="194"/>
      <c r="R412" s="194"/>
    </row>
    <row r="413" spans="1:18" ht="30" hidden="1" customHeight="1" x14ac:dyDescent="0.25">
      <c r="A413" s="174"/>
      <c r="B413" s="174"/>
      <c r="C413" s="174"/>
      <c r="D413" s="174"/>
      <c r="E413" s="171" t="s">
        <v>179</v>
      </c>
      <c r="F413" s="38"/>
      <c r="G413" s="181" t="s">
        <v>466</v>
      </c>
      <c r="H413" s="216" t="s">
        <v>22</v>
      </c>
      <c r="I413" s="282">
        <f>I414</f>
        <v>82000</v>
      </c>
      <c r="J413" s="282">
        <f t="shared" si="65"/>
        <v>-10000</v>
      </c>
      <c r="K413" s="282">
        <f>K414</f>
        <v>72000</v>
      </c>
      <c r="L413" s="34">
        <f t="shared" si="65"/>
        <v>78700</v>
      </c>
      <c r="M413" s="34">
        <f t="shared" si="65"/>
        <v>75500</v>
      </c>
      <c r="N413" s="410"/>
      <c r="O413" s="196"/>
      <c r="Q413" s="194"/>
      <c r="R413" s="194"/>
    </row>
    <row r="414" spans="1:18" ht="30" hidden="1" customHeight="1" x14ac:dyDescent="0.25">
      <c r="A414" s="174"/>
      <c r="B414" s="174"/>
      <c r="C414" s="174"/>
      <c r="D414" s="174"/>
      <c r="E414" s="171"/>
      <c r="F414" s="38" t="s">
        <v>181</v>
      </c>
      <c r="G414" s="181" t="s">
        <v>466</v>
      </c>
      <c r="H414" s="216" t="s">
        <v>22</v>
      </c>
      <c r="I414" s="282">
        <f>90000-8000</f>
        <v>82000</v>
      </c>
      <c r="J414" s="282">
        <f>K414-I414</f>
        <v>-10000</v>
      </c>
      <c r="K414" s="282">
        <f>90000-8000-6000-5000-500-500+2000</f>
        <v>72000</v>
      </c>
      <c r="L414" s="34">
        <f>120300-41600</f>
        <v>78700</v>
      </c>
      <c r="M414" s="34">
        <f>120300-44800</f>
        <v>75500</v>
      </c>
      <c r="N414" s="410"/>
      <c r="O414" s="196"/>
      <c r="Q414" s="194"/>
      <c r="R414" s="194"/>
    </row>
    <row r="415" spans="1:18" ht="30" hidden="1" customHeight="1" x14ac:dyDescent="0.25">
      <c r="A415" s="174"/>
      <c r="B415" s="174"/>
      <c r="C415" s="174"/>
      <c r="D415" s="174"/>
      <c r="E415" s="171" t="s">
        <v>480</v>
      </c>
      <c r="F415" s="38"/>
      <c r="G415" s="181" t="s">
        <v>466</v>
      </c>
      <c r="H415" s="216" t="s">
        <v>22</v>
      </c>
      <c r="I415" s="282">
        <f>I416</f>
        <v>16642.23</v>
      </c>
      <c r="J415" s="282">
        <f>J416</f>
        <v>-4000</v>
      </c>
      <c r="K415" s="282">
        <f>K416</f>
        <v>12642.23</v>
      </c>
      <c r="L415" s="34"/>
      <c r="M415" s="34"/>
      <c r="N415" s="410"/>
      <c r="O415" s="196"/>
      <c r="Q415" s="194"/>
      <c r="R415" s="194"/>
    </row>
    <row r="416" spans="1:18" ht="30" hidden="1" customHeight="1" x14ac:dyDescent="0.25">
      <c r="A416" s="174"/>
      <c r="B416" s="174"/>
      <c r="C416" s="174"/>
      <c r="D416" s="174"/>
      <c r="E416" s="171"/>
      <c r="F416" s="38" t="s">
        <v>481</v>
      </c>
      <c r="G416" s="181" t="s">
        <v>466</v>
      </c>
      <c r="H416" s="216" t="s">
        <v>22</v>
      </c>
      <c r="I416" s="282">
        <f>8000+642.23+8000</f>
        <v>16642.23</v>
      </c>
      <c r="J416" s="282">
        <f>K416-I416</f>
        <v>-4000</v>
      </c>
      <c r="K416" s="282">
        <f>8000+642.23+8000-4000</f>
        <v>12642.23</v>
      </c>
      <c r="L416" s="34"/>
      <c r="M416" s="34"/>
      <c r="N416" s="410"/>
      <c r="O416" s="196"/>
      <c r="Q416" s="194"/>
      <c r="R416" s="194"/>
    </row>
    <row r="417" spans="1:18" ht="20.100000000000001" hidden="1" customHeight="1" x14ac:dyDescent="0.25">
      <c r="A417" s="174"/>
      <c r="B417" s="174"/>
      <c r="C417" s="174"/>
      <c r="D417" s="174">
        <v>3233</v>
      </c>
      <c r="E417" s="174"/>
      <c r="F417" s="44"/>
      <c r="G417" s="181" t="s">
        <v>466</v>
      </c>
      <c r="H417" s="216" t="s">
        <v>22</v>
      </c>
      <c r="I417" s="282">
        <f t="shared" ref="I417:K418" si="66">I418</f>
        <v>2900</v>
      </c>
      <c r="J417" s="282">
        <f t="shared" si="66"/>
        <v>0</v>
      </c>
      <c r="K417" s="282">
        <f t="shared" si="66"/>
        <v>2900</v>
      </c>
      <c r="L417" s="34">
        <f>L418</f>
        <v>3000</v>
      </c>
      <c r="M417" s="34">
        <f>M418</f>
        <v>3000</v>
      </c>
      <c r="N417" s="410"/>
      <c r="O417" s="196"/>
      <c r="Q417" s="194"/>
      <c r="R417" s="194"/>
    </row>
    <row r="418" spans="1:18" ht="20.100000000000001" hidden="1" customHeight="1" x14ac:dyDescent="0.25">
      <c r="A418" s="174"/>
      <c r="B418" s="174"/>
      <c r="C418" s="174"/>
      <c r="D418" s="174"/>
      <c r="E418" s="171" t="s">
        <v>182</v>
      </c>
      <c r="F418" s="38"/>
      <c r="G418" s="181" t="s">
        <v>466</v>
      </c>
      <c r="H418" s="216" t="s">
        <v>22</v>
      </c>
      <c r="I418" s="282">
        <f t="shared" si="66"/>
        <v>2900</v>
      </c>
      <c r="J418" s="282">
        <f t="shared" si="66"/>
        <v>0</v>
      </c>
      <c r="K418" s="282">
        <f t="shared" si="66"/>
        <v>2900</v>
      </c>
      <c r="L418" s="34">
        <f>L419</f>
        <v>3000</v>
      </c>
      <c r="M418" s="34">
        <f>M419</f>
        <v>3000</v>
      </c>
      <c r="N418" s="410"/>
      <c r="O418" s="196"/>
      <c r="Q418" s="194"/>
      <c r="R418" s="194"/>
    </row>
    <row r="419" spans="1:18" s="50" customFormat="1" ht="20.100000000000001" hidden="1" customHeight="1" x14ac:dyDescent="0.25">
      <c r="A419" s="174"/>
      <c r="B419" s="174"/>
      <c r="C419" s="174"/>
      <c r="D419" s="174"/>
      <c r="E419" s="171"/>
      <c r="F419" s="38" t="s">
        <v>184</v>
      </c>
      <c r="G419" s="181" t="s">
        <v>466</v>
      </c>
      <c r="H419" s="216" t="s">
        <v>22</v>
      </c>
      <c r="I419" s="282">
        <v>2900</v>
      </c>
      <c r="J419" s="282">
        <f>K419-I419</f>
        <v>0</v>
      </c>
      <c r="K419" s="282">
        <v>2900</v>
      </c>
      <c r="L419" s="49">
        <v>3000</v>
      </c>
      <c r="M419" s="49">
        <v>3000</v>
      </c>
      <c r="N419" s="410"/>
      <c r="O419" s="196"/>
      <c r="P419" s="275"/>
    </row>
    <row r="420" spans="1:18" ht="20.100000000000001" hidden="1" customHeight="1" x14ac:dyDescent="0.25">
      <c r="A420" s="174"/>
      <c r="B420" s="174"/>
      <c r="C420" s="174"/>
      <c r="D420" s="174">
        <v>3234</v>
      </c>
      <c r="E420" s="174"/>
      <c r="F420" s="44"/>
      <c r="G420" s="181" t="s">
        <v>466</v>
      </c>
      <c r="H420" s="216" t="s">
        <v>22</v>
      </c>
      <c r="I420" s="282">
        <f>I421+I423+I425</f>
        <v>34600</v>
      </c>
      <c r="J420" s="282">
        <f>J421+J423+J425</f>
        <v>-7400</v>
      </c>
      <c r="K420" s="282">
        <f>K421+K423+K425</f>
        <v>27200</v>
      </c>
      <c r="L420" s="34">
        <f>L421+L423+L425</f>
        <v>166900</v>
      </c>
      <c r="M420" s="34">
        <f>M421+M423+M425</f>
        <v>166900</v>
      </c>
      <c r="N420" s="410"/>
      <c r="O420" s="196"/>
      <c r="P420" s="68"/>
      <c r="Q420" s="194"/>
      <c r="R420" s="194"/>
    </row>
    <row r="421" spans="1:18" ht="20.100000000000001" hidden="1" customHeight="1" x14ac:dyDescent="0.25">
      <c r="A421" s="174"/>
      <c r="B421" s="174"/>
      <c r="C421" s="174"/>
      <c r="D421" s="174"/>
      <c r="E421" s="171" t="s">
        <v>185</v>
      </c>
      <c r="F421" s="38"/>
      <c r="G421" s="181" t="s">
        <v>466</v>
      </c>
      <c r="H421" s="216" t="s">
        <v>22</v>
      </c>
      <c r="I421" s="282">
        <f>I422</f>
        <v>2600</v>
      </c>
      <c r="J421" s="282">
        <f>J422</f>
        <v>0</v>
      </c>
      <c r="K421" s="282">
        <f>K422</f>
        <v>2600</v>
      </c>
      <c r="L421" s="34">
        <f>L422</f>
        <v>51000</v>
      </c>
      <c r="M421" s="34">
        <f>M422</f>
        <v>51000</v>
      </c>
      <c r="N421" s="410"/>
      <c r="O421" s="196"/>
      <c r="Q421" s="194"/>
      <c r="R421" s="194"/>
    </row>
    <row r="422" spans="1:18" ht="20.100000000000001" hidden="1" customHeight="1" x14ac:dyDescent="0.25">
      <c r="A422" s="174"/>
      <c r="B422" s="174"/>
      <c r="C422" s="174"/>
      <c r="D422" s="174"/>
      <c r="E422" s="171"/>
      <c r="F422" s="38" t="s">
        <v>187</v>
      </c>
      <c r="G422" s="181" t="s">
        <v>466</v>
      </c>
      <c r="H422" s="216" t="s">
        <v>22</v>
      </c>
      <c r="I422" s="282">
        <v>2600</v>
      </c>
      <c r="J422" s="282">
        <f>K422-I422</f>
        <v>0</v>
      </c>
      <c r="K422" s="282">
        <v>2600</v>
      </c>
      <c r="L422" s="34">
        <v>51000</v>
      </c>
      <c r="M422" s="34">
        <v>51000</v>
      </c>
      <c r="N422" s="410"/>
      <c r="O422" s="196"/>
      <c r="Q422" s="194"/>
      <c r="R422" s="194"/>
    </row>
    <row r="423" spans="1:18" ht="20.100000000000001" hidden="1" customHeight="1" x14ac:dyDescent="0.25">
      <c r="A423" s="174"/>
      <c r="B423" s="174"/>
      <c r="C423" s="174"/>
      <c r="D423" s="174"/>
      <c r="E423" s="171" t="s">
        <v>188</v>
      </c>
      <c r="F423" s="38"/>
      <c r="G423" s="181" t="s">
        <v>466</v>
      </c>
      <c r="H423" s="216" t="s">
        <v>22</v>
      </c>
      <c r="I423" s="282">
        <f>I424</f>
        <v>19500</v>
      </c>
      <c r="J423" s="282">
        <f>J424</f>
        <v>-7400</v>
      </c>
      <c r="K423" s="282">
        <f>K424</f>
        <v>12100</v>
      </c>
      <c r="L423" s="39">
        <f t="shared" ref="L423:M423" si="67">L424</f>
        <v>54000</v>
      </c>
      <c r="M423" s="39">
        <f t="shared" si="67"/>
        <v>54000</v>
      </c>
      <c r="N423" s="410"/>
      <c r="O423" s="196"/>
      <c r="Q423" s="194"/>
      <c r="R423" s="194"/>
    </row>
    <row r="424" spans="1:18" ht="20.100000000000001" hidden="1" customHeight="1" x14ac:dyDescent="0.25">
      <c r="A424" s="174"/>
      <c r="B424" s="174"/>
      <c r="C424" s="174"/>
      <c r="D424" s="174"/>
      <c r="E424" s="171"/>
      <c r="F424" s="38" t="s">
        <v>190</v>
      </c>
      <c r="G424" s="181" t="s">
        <v>466</v>
      </c>
      <c r="H424" s="216" t="s">
        <v>22</v>
      </c>
      <c r="I424" s="282">
        <f>20000-500</f>
        <v>19500</v>
      </c>
      <c r="J424" s="282">
        <f>K424-I424</f>
        <v>-7400</v>
      </c>
      <c r="K424" s="282">
        <f>20000-500-7400</f>
        <v>12100</v>
      </c>
      <c r="L424" s="34">
        <v>54000</v>
      </c>
      <c r="M424" s="34">
        <v>54000</v>
      </c>
      <c r="N424" s="410"/>
      <c r="O424" s="196"/>
      <c r="Q424" s="194"/>
      <c r="R424" s="194"/>
    </row>
    <row r="425" spans="1:18" ht="20.100000000000001" hidden="1" customHeight="1" x14ac:dyDescent="0.25">
      <c r="A425" s="174"/>
      <c r="B425" s="174"/>
      <c r="C425" s="174"/>
      <c r="D425" s="174"/>
      <c r="E425" s="171" t="s">
        <v>191</v>
      </c>
      <c r="F425" s="38"/>
      <c r="G425" s="181" t="s">
        <v>466</v>
      </c>
      <c r="H425" s="216" t="s">
        <v>22</v>
      </c>
      <c r="I425" s="282">
        <f>I426+I427</f>
        <v>12500</v>
      </c>
      <c r="J425" s="282">
        <f>J426+J427</f>
        <v>0</v>
      </c>
      <c r="K425" s="282">
        <f>K426+K427</f>
        <v>12500</v>
      </c>
      <c r="L425" s="39">
        <f t="shared" ref="L425:M425" si="68">L426+L427</f>
        <v>61900</v>
      </c>
      <c r="M425" s="39">
        <f t="shared" si="68"/>
        <v>61900</v>
      </c>
      <c r="N425" s="410"/>
      <c r="O425" s="196"/>
      <c r="Q425" s="194"/>
      <c r="R425" s="194"/>
    </row>
    <row r="426" spans="1:18" ht="20.100000000000001" hidden="1" customHeight="1" x14ac:dyDescent="0.25">
      <c r="A426" s="174"/>
      <c r="B426" s="174"/>
      <c r="C426" s="174"/>
      <c r="D426" s="174"/>
      <c r="E426" s="171"/>
      <c r="F426" s="38" t="s">
        <v>193</v>
      </c>
      <c r="G426" s="181" t="s">
        <v>466</v>
      </c>
      <c r="H426" s="216" t="s">
        <v>22</v>
      </c>
      <c r="I426" s="282">
        <v>1500</v>
      </c>
      <c r="J426" s="282">
        <f>K426-I426</f>
        <v>0</v>
      </c>
      <c r="K426" s="282">
        <v>1500</v>
      </c>
      <c r="L426" s="34">
        <v>20300</v>
      </c>
      <c r="M426" s="34">
        <v>20300</v>
      </c>
      <c r="N426" s="410"/>
      <c r="O426" s="196"/>
      <c r="Q426" s="194"/>
      <c r="R426" s="194"/>
    </row>
    <row r="427" spans="1:18" ht="27" hidden="1" customHeight="1" x14ac:dyDescent="0.25">
      <c r="A427" s="174"/>
      <c r="B427" s="174"/>
      <c r="C427" s="174"/>
      <c r="D427" s="174"/>
      <c r="E427" s="171"/>
      <c r="F427" s="38" t="s">
        <v>194</v>
      </c>
      <c r="G427" s="181" t="s">
        <v>466</v>
      </c>
      <c r="H427" s="216" t="s">
        <v>22</v>
      </c>
      <c r="I427" s="282">
        <f>10500+500</f>
        <v>11000</v>
      </c>
      <c r="J427" s="282">
        <f>K427-I427</f>
        <v>0</v>
      </c>
      <c r="K427" s="282">
        <f>10500+500</f>
        <v>11000</v>
      </c>
      <c r="L427" s="34">
        <f>40000+1600</f>
        <v>41600</v>
      </c>
      <c r="M427" s="34">
        <f>40000+1600</f>
        <v>41600</v>
      </c>
      <c r="N427" s="410"/>
      <c r="O427" s="196"/>
      <c r="Q427" s="194"/>
      <c r="R427" s="194"/>
    </row>
    <row r="428" spans="1:18" ht="20.100000000000001" hidden="1" customHeight="1" x14ac:dyDescent="0.25">
      <c r="A428" s="174"/>
      <c r="B428" s="174"/>
      <c r="C428" s="174"/>
      <c r="D428" s="174">
        <v>3235</v>
      </c>
      <c r="E428" s="174"/>
      <c r="F428" s="44"/>
      <c r="G428" s="181" t="s">
        <v>466</v>
      </c>
      <c r="H428" s="216" t="s">
        <v>22</v>
      </c>
      <c r="I428" s="282">
        <f>I429+I431+I433</f>
        <v>2800</v>
      </c>
      <c r="J428" s="282">
        <f>J429+J431+J433</f>
        <v>0</v>
      </c>
      <c r="K428" s="282">
        <f>K429+K431+K433</f>
        <v>2800</v>
      </c>
      <c r="L428" s="39">
        <f t="shared" ref="L428:M428" si="69">L429+L431+L433</f>
        <v>10000</v>
      </c>
      <c r="M428" s="39">
        <f t="shared" si="69"/>
        <v>10000</v>
      </c>
      <c r="N428" s="410"/>
      <c r="O428" s="196"/>
      <c r="Q428" s="194"/>
      <c r="R428" s="194"/>
    </row>
    <row r="429" spans="1:18" ht="20.100000000000001" hidden="1" customHeight="1" x14ac:dyDescent="0.25">
      <c r="A429" s="174"/>
      <c r="B429" s="174"/>
      <c r="C429" s="174"/>
      <c r="D429" s="174"/>
      <c r="E429" s="171" t="s">
        <v>196</v>
      </c>
      <c r="F429" s="38"/>
      <c r="G429" s="181" t="s">
        <v>466</v>
      </c>
      <c r="H429" s="216" t="s">
        <v>22</v>
      </c>
      <c r="I429" s="282">
        <f>I430</f>
        <v>70</v>
      </c>
      <c r="J429" s="282">
        <f>J430</f>
        <v>0</v>
      </c>
      <c r="K429" s="282">
        <f>K430</f>
        <v>70</v>
      </c>
      <c r="L429" s="34">
        <f>L430</f>
        <v>1000</v>
      </c>
      <c r="M429" s="34">
        <f>M430</f>
        <v>1000</v>
      </c>
      <c r="N429" s="410"/>
      <c r="O429" s="196"/>
      <c r="Q429" s="194"/>
      <c r="R429" s="194"/>
    </row>
    <row r="430" spans="1:18" ht="20.100000000000001" hidden="1" customHeight="1" x14ac:dyDescent="0.25">
      <c r="A430" s="174"/>
      <c r="B430" s="174"/>
      <c r="C430" s="174"/>
      <c r="D430" s="174"/>
      <c r="E430" s="171"/>
      <c r="F430" s="38" t="s">
        <v>198</v>
      </c>
      <c r="G430" s="181" t="s">
        <v>466</v>
      </c>
      <c r="H430" s="216" t="s">
        <v>22</v>
      </c>
      <c r="I430" s="282">
        <v>70</v>
      </c>
      <c r="J430" s="282">
        <f>K430-I430</f>
        <v>0</v>
      </c>
      <c r="K430" s="282">
        <v>70</v>
      </c>
      <c r="L430" s="34">
        <v>1000</v>
      </c>
      <c r="M430" s="34">
        <v>1000</v>
      </c>
      <c r="N430" s="410"/>
      <c r="O430" s="196"/>
      <c r="Q430" s="194"/>
      <c r="R430" s="194"/>
    </row>
    <row r="431" spans="1:18" ht="20.100000000000001" hidden="1" customHeight="1" x14ac:dyDescent="0.25">
      <c r="A431" s="174"/>
      <c r="B431" s="174"/>
      <c r="C431" s="174"/>
      <c r="D431" s="174"/>
      <c r="E431" s="171" t="s">
        <v>369</v>
      </c>
      <c r="F431" s="38"/>
      <c r="G431" s="181" t="s">
        <v>466</v>
      </c>
      <c r="H431" s="216" t="s">
        <v>22</v>
      </c>
      <c r="I431" s="282">
        <f>I432</f>
        <v>2200</v>
      </c>
      <c r="J431" s="282">
        <f>J432</f>
        <v>0</v>
      </c>
      <c r="K431" s="282">
        <f>K432</f>
        <v>2200</v>
      </c>
      <c r="L431" s="39">
        <f t="shared" ref="L431:M431" si="70">L432</f>
        <v>7000</v>
      </c>
      <c r="M431" s="39">
        <f t="shared" si="70"/>
        <v>7000</v>
      </c>
      <c r="N431" s="410"/>
      <c r="O431" s="196"/>
      <c r="Q431" s="194"/>
      <c r="R431" s="194"/>
    </row>
    <row r="432" spans="1:18" ht="20.100000000000001" hidden="1" customHeight="1" x14ac:dyDescent="0.25">
      <c r="A432" s="174"/>
      <c r="B432" s="174"/>
      <c r="C432" s="174"/>
      <c r="D432" s="174"/>
      <c r="E432" s="171"/>
      <c r="F432" s="38" t="s">
        <v>370</v>
      </c>
      <c r="G432" s="181" t="s">
        <v>466</v>
      </c>
      <c r="H432" s="216" t="s">
        <v>22</v>
      </c>
      <c r="I432" s="282">
        <v>2200</v>
      </c>
      <c r="J432" s="282">
        <f>K432-I432</f>
        <v>0</v>
      </c>
      <c r="K432" s="282">
        <v>2200</v>
      </c>
      <c r="L432" s="34">
        <v>7000</v>
      </c>
      <c r="M432" s="34">
        <v>7000</v>
      </c>
      <c r="N432" s="410"/>
      <c r="O432" s="196"/>
      <c r="Q432" s="194"/>
      <c r="R432" s="194"/>
    </row>
    <row r="433" spans="1:18" ht="20.100000000000001" hidden="1" customHeight="1" x14ac:dyDescent="0.25">
      <c r="A433" s="174"/>
      <c r="B433" s="174"/>
      <c r="C433" s="174"/>
      <c r="D433" s="174"/>
      <c r="E433" s="171" t="s">
        <v>199</v>
      </c>
      <c r="F433" s="38"/>
      <c r="G433" s="181" t="s">
        <v>466</v>
      </c>
      <c r="H433" s="216" t="s">
        <v>22</v>
      </c>
      <c r="I433" s="282">
        <f>I434</f>
        <v>530</v>
      </c>
      <c r="J433" s="282">
        <f>J434</f>
        <v>0</v>
      </c>
      <c r="K433" s="282">
        <f>K434</f>
        <v>530</v>
      </c>
      <c r="L433" s="39">
        <f>L434</f>
        <v>2000</v>
      </c>
      <c r="M433" s="39">
        <f>M434</f>
        <v>2000</v>
      </c>
      <c r="N433" s="410"/>
      <c r="O433" s="196"/>
      <c r="Q433" s="194"/>
      <c r="R433" s="194"/>
    </row>
    <row r="434" spans="1:18" ht="20.100000000000001" hidden="1" customHeight="1" x14ac:dyDescent="0.25">
      <c r="A434" s="174"/>
      <c r="B434" s="174"/>
      <c r="C434" s="174"/>
      <c r="D434" s="174"/>
      <c r="E434" s="171"/>
      <c r="F434" s="38" t="s">
        <v>201</v>
      </c>
      <c r="G434" s="181" t="s">
        <v>466</v>
      </c>
      <c r="H434" s="216" t="s">
        <v>22</v>
      </c>
      <c r="I434" s="282">
        <v>530</v>
      </c>
      <c r="J434" s="282">
        <f>K434-I434</f>
        <v>0</v>
      </c>
      <c r="K434" s="282">
        <v>530</v>
      </c>
      <c r="L434" s="34">
        <v>2000</v>
      </c>
      <c r="M434" s="34">
        <v>2000</v>
      </c>
      <c r="N434" s="410"/>
      <c r="O434" s="196"/>
      <c r="Q434" s="194"/>
      <c r="R434" s="194"/>
    </row>
    <row r="435" spans="1:18" ht="20.100000000000001" hidden="1" customHeight="1" x14ac:dyDescent="0.25">
      <c r="A435" s="174"/>
      <c r="B435" s="174"/>
      <c r="C435" s="174"/>
      <c r="D435" s="174">
        <v>3236</v>
      </c>
      <c r="E435" s="174"/>
      <c r="F435" s="44"/>
      <c r="G435" s="181" t="s">
        <v>466</v>
      </c>
      <c r="H435" s="216" t="s">
        <v>22</v>
      </c>
      <c r="I435" s="282">
        <f>I436+I438</f>
        <v>40000</v>
      </c>
      <c r="J435" s="282">
        <f>J436+J438</f>
        <v>5000</v>
      </c>
      <c r="K435" s="282">
        <f>K436+K438</f>
        <v>45000</v>
      </c>
      <c r="L435" s="34">
        <f>L436+L438</f>
        <v>150000</v>
      </c>
      <c r="M435" s="34">
        <f>M436+M438</f>
        <v>150000</v>
      </c>
      <c r="N435" s="410"/>
      <c r="O435" s="196"/>
      <c r="Q435" s="194"/>
      <c r="R435" s="194"/>
    </row>
    <row r="436" spans="1:18" ht="20.100000000000001" hidden="1" customHeight="1" x14ac:dyDescent="0.25">
      <c r="A436" s="174"/>
      <c r="B436" s="174"/>
      <c r="C436" s="174"/>
      <c r="D436" s="174"/>
      <c r="E436" s="171" t="s">
        <v>202</v>
      </c>
      <c r="F436" s="38"/>
      <c r="G436" s="181" t="s">
        <v>466</v>
      </c>
      <c r="H436" s="216" t="s">
        <v>22</v>
      </c>
      <c r="I436" s="282">
        <f>I437</f>
        <v>27000</v>
      </c>
      <c r="J436" s="282">
        <f>J437</f>
        <v>5000</v>
      </c>
      <c r="K436" s="282">
        <f>K437</f>
        <v>32000</v>
      </c>
      <c r="L436" s="34">
        <f>L437</f>
        <v>122000</v>
      </c>
      <c r="M436" s="34">
        <f>M437</f>
        <v>122000</v>
      </c>
      <c r="N436" s="410"/>
      <c r="O436" s="196"/>
      <c r="Q436" s="194"/>
      <c r="R436" s="194"/>
    </row>
    <row r="437" spans="1:18" ht="20.100000000000001" hidden="1" customHeight="1" x14ac:dyDescent="0.25">
      <c r="A437" s="174"/>
      <c r="B437" s="174"/>
      <c r="C437" s="174"/>
      <c r="D437" s="174"/>
      <c r="E437" s="171"/>
      <c r="F437" s="38" t="s">
        <v>204</v>
      </c>
      <c r="G437" s="181" t="s">
        <v>466</v>
      </c>
      <c r="H437" s="216" t="s">
        <v>22</v>
      </c>
      <c r="I437" s="282">
        <v>27000</v>
      </c>
      <c r="J437" s="282">
        <f>K437-I437</f>
        <v>5000</v>
      </c>
      <c r="K437" s="282">
        <f>27000+5000</f>
        <v>32000</v>
      </c>
      <c r="L437" s="34">
        <v>122000</v>
      </c>
      <c r="M437" s="34">
        <v>122000</v>
      </c>
      <c r="N437" s="410"/>
      <c r="O437" s="196"/>
      <c r="Q437" s="194"/>
      <c r="R437" s="194"/>
    </row>
    <row r="438" spans="1:18" ht="20.100000000000001" hidden="1" customHeight="1" x14ac:dyDescent="0.25">
      <c r="A438" s="174"/>
      <c r="B438" s="174"/>
      <c r="C438" s="174"/>
      <c r="D438" s="174"/>
      <c r="E438" s="171" t="s">
        <v>205</v>
      </c>
      <c r="F438" s="38"/>
      <c r="G438" s="181" t="s">
        <v>466</v>
      </c>
      <c r="H438" s="216" t="s">
        <v>22</v>
      </c>
      <c r="I438" s="282">
        <f>I439</f>
        <v>13000</v>
      </c>
      <c r="J438" s="282">
        <f>J439</f>
        <v>0</v>
      </c>
      <c r="K438" s="282">
        <f>K439</f>
        <v>13000</v>
      </c>
      <c r="L438" s="34">
        <f>L439</f>
        <v>28000</v>
      </c>
      <c r="M438" s="34">
        <f>M439</f>
        <v>28000</v>
      </c>
      <c r="N438" s="410"/>
      <c r="O438" s="196"/>
      <c r="Q438" s="194"/>
      <c r="R438" s="194"/>
    </row>
    <row r="439" spans="1:18" ht="20.100000000000001" hidden="1" customHeight="1" x14ac:dyDescent="0.25">
      <c r="A439" s="174"/>
      <c r="B439" s="174"/>
      <c r="C439" s="174"/>
      <c r="D439" s="174"/>
      <c r="E439" s="171"/>
      <c r="F439" s="38" t="s">
        <v>207</v>
      </c>
      <c r="G439" s="181" t="s">
        <v>466</v>
      </c>
      <c r="H439" s="216" t="s">
        <v>22</v>
      </c>
      <c r="I439" s="282">
        <v>13000</v>
      </c>
      <c r="J439" s="282">
        <f>K439-I439</f>
        <v>0</v>
      </c>
      <c r="K439" s="379">
        <v>13000</v>
      </c>
      <c r="L439" s="34">
        <v>28000</v>
      </c>
      <c r="M439" s="34">
        <v>28000</v>
      </c>
      <c r="N439" s="410"/>
      <c r="O439" s="196"/>
      <c r="Q439" s="194"/>
      <c r="R439" s="194"/>
    </row>
    <row r="440" spans="1:18" ht="20.100000000000001" hidden="1" customHeight="1" x14ac:dyDescent="0.25">
      <c r="A440" s="174"/>
      <c r="B440" s="174"/>
      <c r="C440" s="174"/>
      <c r="D440" s="174">
        <v>3237</v>
      </c>
      <c r="E440" s="174"/>
      <c r="F440" s="44"/>
      <c r="G440" s="181" t="s">
        <v>466</v>
      </c>
      <c r="H440" s="216" t="s">
        <v>22</v>
      </c>
      <c r="I440" s="282">
        <f>I441+I443+I445</f>
        <v>108600</v>
      </c>
      <c r="J440" s="282">
        <f>J441+J443+J445</f>
        <v>-1000</v>
      </c>
      <c r="K440" s="282">
        <f>K441+K443+K445</f>
        <v>107600</v>
      </c>
      <c r="L440" s="34">
        <f>L441+L443+L445</f>
        <v>565500</v>
      </c>
      <c r="M440" s="34">
        <f>M441+M443+M445</f>
        <v>565500</v>
      </c>
      <c r="N440" s="410"/>
      <c r="O440" s="196"/>
      <c r="Q440" s="194"/>
      <c r="R440" s="194"/>
    </row>
    <row r="441" spans="1:18" ht="20.100000000000001" hidden="1" customHeight="1" x14ac:dyDescent="0.25">
      <c r="A441" s="174"/>
      <c r="B441" s="174"/>
      <c r="C441" s="174"/>
      <c r="D441" s="174"/>
      <c r="E441" s="171" t="s">
        <v>209</v>
      </c>
      <c r="F441" s="38"/>
      <c r="G441" s="181" t="s">
        <v>466</v>
      </c>
      <c r="H441" s="216" t="s">
        <v>22</v>
      </c>
      <c r="I441" s="282">
        <f>I442</f>
        <v>16600</v>
      </c>
      <c r="J441" s="282">
        <f>J442</f>
        <v>8000</v>
      </c>
      <c r="K441" s="282">
        <f>K442</f>
        <v>24600</v>
      </c>
      <c r="L441" s="34">
        <f>L442</f>
        <v>108900</v>
      </c>
      <c r="M441" s="34">
        <f>M442</f>
        <v>108900</v>
      </c>
      <c r="N441" s="410"/>
      <c r="O441" s="196"/>
    </row>
    <row r="442" spans="1:18" ht="20.100000000000001" hidden="1" customHeight="1" x14ac:dyDescent="0.25">
      <c r="A442" s="174"/>
      <c r="B442" s="174"/>
      <c r="C442" s="174"/>
      <c r="D442" s="174"/>
      <c r="E442" s="171"/>
      <c r="F442" s="38" t="s">
        <v>211</v>
      </c>
      <c r="G442" s="181" t="s">
        <v>466</v>
      </c>
      <c r="H442" s="216" t="s">
        <v>22</v>
      </c>
      <c r="I442" s="282">
        <f>16600</f>
        <v>16600</v>
      </c>
      <c r="J442" s="282">
        <f>K442-I442</f>
        <v>8000</v>
      </c>
      <c r="K442" s="282">
        <f>16600+8000</f>
        <v>24600</v>
      </c>
      <c r="L442" s="34">
        <v>108900</v>
      </c>
      <c r="M442" s="34">
        <v>108900</v>
      </c>
      <c r="N442" s="410"/>
      <c r="O442" s="196"/>
    </row>
    <row r="443" spans="1:18" ht="20.100000000000001" hidden="1" customHeight="1" x14ac:dyDescent="0.25">
      <c r="A443" s="174"/>
      <c r="B443" s="174"/>
      <c r="C443" s="174"/>
      <c r="D443" s="174"/>
      <c r="E443" s="171" t="s">
        <v>212</v>
      </c>
      <c r="F443" s="38"/>
      <c r="G443" s="181" t="s">
        <v>466</v>
      </c>
      <c r="H443" s="216" t="s">
        <v>22</v>
      </c>
      <c r="I443" s="282">
        <f>I444</f>
        <v>4000</v>
      </c>
      <c r="J443" s="282">
        <f>J444</f>
        <v>2000</v>
      </c>
      <c r="K443" s="282">
        <f>K444</f>
        <v>6000</v>
      </c>
      <c r="L443" s="34">
        <f>L444</f>
        <v>8680</v>
      </c>
      <c r="M443" s="34">
        <f>M444</f>
        <v>8680</v>
      </c>
      <c r="N443" s="410"/>
      <c r="O443" s="196"/>
    </row>
    <row r="444" spans="1:18" ht="20.100000000000001" hidden="1" customHeight="1" x14ac:dyDescent="0.25">
      <c r="A444" s="174"/>
      <c r="B444" s="174"/>
      <c r="C444" s="174"/>
      <c r="D444" s="174"/>
      <c r="E444" s="171"/>
      <c r="F444" s="38" t="s">
        <v>214</v>
      </c>
      <c r="G444" s="181" t="s">
        <v>466</v>
      </c>
      <c r="H444" s="216" t="s">
        <v>22</v>
      </c>
      <c r="I444" s="282">
        <f>3000+1000</f>
        <v>4000</v>
      </c>
      <c r="J444" s="282">
        <f>K444-I444</f>
        <v>2000</v>
      </c>
      <c r="K444" s="282">
        <f>3000+1000+2000</f>
        <v>6000</v>
      </c>
      <c r="L444" s="34">
        <v>8680</v>
      </c>
      <c r="M444" s="34">
        <v>8680</v>
      </c>
      <c r="N444" s="410"/>
      <c r="O444" s="196"/>
    </row>
    <row r="445" spans="1:18" ht="20.100000000000001" hidden="1" customHeight="1" x14ac:dyDescent="0.25">
      <c r="A445" s="174"/>
      <c r="B445" s="174"/>
      <c r="C445" s="174"/>
      <c r="D445" s="174"/>
      <c r="E445" s="171" t="s">
        <v>215</v>
      </c>
      <c r="F445" s="38"/>
      <c r="G445" s="181" t="s">
        <v>466</v>
      </c>
      <c r="H445" s="216" t="s">
        <v>22</v>
      </c>
      <c r="I445" s="282">
        <f>I446+I447</f>
        <v>88000</v>
      </c>
      <c r="J445" s="282">
        <f>J446+J447</f>
        <v>-11000</v>
      </c>
      <c r="K445" s="282">
        <f>K446+K447</f>
        <v>77000</v>
      </c>
      <c r="L445" s="34">
        <f>L446+L447</f>
        <v>447920</v>
      </c>
      <c r="M445" s="34">
        <f>M446+M447</f>
        <v>447920</v>
      </c>
      <c r="N445" s="410"/>
      <c r="O445" s="196"/>
    </row>
    <row r="446" spans="1:18" s="50" customFormat="1" ht="20.100000000000001" hidden="1" customHeight="1" x14ac:dyDescent="0.25">
      <c r="A446" s="174"/>
      <c r="B446" s="174"/>
      <c r="C446" s="174"/>
      <c r="D446" s="174"/>
      <c r="E446" s="171"/>
      <c r="F446" s="38" t="s">
        <v>217</v>
      </c>
      <c r="G446" s="181" t="s">
        <v>466</v>
      </c>
      <c r="H446" s="216" t="s">
        <v>22</v>
      </c>
      <c r="I446" s="282">
        <f>90000-1000-1000</f>
        <v>88000</v>
      </c>
      <c r="J446" s="282">
        <f>K446-I446</f>
        <v>-11000</v>
      </c>
      <c r="K446" s="282">
        <f>90000-1000-1000-1000-2000-8000</f>
        <v>77000</v>
      </c>
      <c r="L446" s="49">
        <v>427920</v>
      </c>
      <c r="M446" s="49">
        <v>427920</v>
      </c>
      <c r="N446" s="410"/>
      <c r="O446" s="196"/>
      <c r="P446" s="275"/>
    </row>
    <row r="447" spans="1:18" ht="20.100000000000001" hidden="1" customHeight="1" x14ac:dyDescent="0.25">
      <c r="A447" s="174"/>
      <c r="B447" s="174"/>
      <c r="C447" s="174"/>
      <c r="D447" s="174"/>
      <c r="E447" s="171"/>
      <c r="F447" s="38" t="s">
        <v>376</v>
      </c>
      <c r="G447" s="181" t="s">
        <v>466</v>
      </c>
      <c r="H447" s="216" t="s">
        <v>22</v>
      </c>
      <c r="I447" s="282">
        <v>0</v>
      </c>
      <c r="J447" s="282">
        <f>K447-I447</f>
        <v>0</v>
      </c>
      <c r="K447" s="282">
        <v>0</v>
      </c>
      <c r="L447" s="34">
        <v>20000</v>
      </c>
      <c r="M447" s="34">
        <v>20000</v>
      </c>
      <c r="N447" s="410"/>
      <c r="O447" s="196"/>
    </row>
    <row r="448" spans="1:18" ht="20.100000000000001" hidden="1" customHeight="1" x14ac:dyDescent="0.25">
      <c r="A448" s="174"/>
      <c r="B448" s="174"/>
      <c r="C448" s="174"/>
      <c r="D448" s="174">
        <v>3238</v>
      </c>
      <c r="E448" s="174"/>
      <c r="F448" s="44"/>
      <c r="G448" s="181" t="s">
        <v>466</v>
      </c>
      <c r="H448" s="216" t="s">
        <v>22</v>
      </c>
      <c r="I448" s="282">
        <f t="shared" ref="I448:M449" si="71">I449</f>
        <v>10000</v>
      </c>
      <c r="J448" s="282">
        <f t="shared" si="71"/>
        <v>0</v>
      </c>
      <c r="K448" s="282">
        <f t="shared" si="71"/>
        <v>10000</v>
      </c>
      <c r="L448" s="34">
        <f t="shared" si="71"/>
        <v>33350</v>
      </c>
      <c r="M448" s="34">
        <f t="shared" si="71"/>
        <v>33350</v>
      </c>
      <c r="N448" s="410"/>
      <c r="O448" s="196"/>
      <c r="Q448" s="194"/>
      <c r="R448" s="194"/>
    </row>
    <row r="449" spans="1:18" ht="20.100000000000001" hidden="1" customHeight="1" x14ac:dyDescent="0.25">
      <c r="A449" s="174"/>
      <c r="B449" s="174"/>
      <c r="C449" s="174"/>
      <c r="D449" s="174"/>
      <c r="E449" s="171" t="s">
        <v>219</v>
      </c>
      <c r="F449" s="38"/>
      <c r="G449" s="181" t="s">
        <v>466</v>
      </c>
      <c r="H449" s="216" t="s">
        <v>22</v>
      </c>
      <c r="I449" s="282">
        <f t="shared" si="71"/>
        <v>10000</v>
      </c>
      <c r="J449" s="282">
        <f t="shared" si="71"/>
        <v>0</v>
      </c>
      <c r="K449" s="282">
        <f t="shared" si="71"/>
        <v>10000</v>
      </c>
      <c r="L449" s="34">
        <f t="shared" si="71"/>
        <v>33350</v>
      </c>
      <c r="M449" s="34">
        <f t="shared" si="71"/>
        <v>33350</v>
      </c>
      <c r="N449" s="410"/>
      <c r="O449" s="196"/>
      <c r="Q449" s="194"/>
      <c r="R449" s="194"/>
    </row>
    <row r="450" spans="1:18" ht="20.100000000000001" hidden="1" customHeight="1" x14ac:dyDescent="0.25">
      <c r="A450" s="174"/>
      <c r="B450" s="174"/>
      <c r="C450" s="174"/>
      <c r="D450" s="174"/>
      <c r="E450" s="171"/>
      <c r="F450" s="38" t="s">
        <v>221</v>
      </c>
      <c r="G450" s="181" t="s">
        <v>466</v>
      </c>
      <c r="H450" s="216" t="s">
        <v>22</v>
      </c>
      <c r="I450" s="282">
        <f>9000+1000</f>
        <v>10000</v>
      </c>
      <c r="J450" s="282">
        <f>K450-I450</f>
        <v>0</v>
      </c>
      <c r="K450" s="282">
        <f>9000+1000</f>
        <v>10000</v>
      </c>
      <c r="L450" s="34">
        <v>33350</v>
      </c>
      <c r="M450" s="34">
        <v>33350</v>
      </c>
      <c r="N450" s="410"/>
      <c r="O450" s="196"/>
      <c r="Q450" s="194"/>
      <c r="R450" s="194"/>
    </row>
    <row r="451" spans="1:18" ht="20.100000000000001" hidden="1" customHeight="1" x14ac:dyDescent="0.25">
      <c r="A451" s="174"/>
      <c r="B451" s="174"/>
      <c r="C451" s="174"/>
      <c r="D451" s="174">
        <v>3239</v>
      </c>
      <c r="E451" s="174"/>
      <c r="F451" s="44"/>
      <c r="G451" s="181" t="s">
        <v>466</v>
      </c>
      <c r="H451" s="216" t="s">
        <v>22</v>
      </c>
      <c r="I451" s="282">
        <f>I452+I455+I457+I459</f>
        <v>61000</v>
      </c>
      <c r="J451" s="282">
        <f>J452+J455+J457+J459</f>
        <v>4500</v>
      </c>
      <c r="K451" s="282">
        <f>K452+K455+K457+K459</f>
        <v>65500</v>
      </c>
      <c r="L451" s="34">
        <f>L452+L455+L457+L459</f>
        <v>325600</v>
      </c>
      <c r="M451" s="34">
        <f>M452+M455+M457+M459</f>
        <v>325600</v>
      </c>
      <c r="N451" s="410"/>
      <c r="O451" s="196"/>
      <c r="Q451" s="194"/>
      <c r="R451" s="194"/>
    </row>
    <row r="452" spans="1:18" ht="30" hidden="1" customHeight="1" x14ac:dyDescent="0.25">
      <c r="A452" s="174"/>
      <c r="B452" s="174"/>
      <c r="C452" s="174"/>
      <c r="D452" s="174"/>
      <c r="E452" s="171" t="s">
        <v>222</v>
      </c>
      <c r="F452" s="38"/>
      <c r="G452" s="181" t="s">
        <v>466</v>
      </c>
      <c r="H452" s="216" t="s">
        <v>22</v>
      </c>
      <c r="I452" s="282">
        <f>I453+I454</f>
        <v>3400</v>
      </c>
      <c r="J452" s="282">
        <f>J453+J454</f>
        <v>1500</v>
      </c>
      <c r="K452" s="282">
        <f>K453+K454</f>
        <v>4900</v>
      </c>
      <c r="L452" s="34">
        <f>L453</f>
        <v>8250</v>
      </c>
      <c r="M452" s="34">
        <f>M453</f>
        <v>8250</v>
      </c>
      <c r="N452" s="410"/>
      <c r="O452" s="196"/>
      <c r="Q452" s="194"/>
      <c r="R452" s="194"/>
    </row>
    <row r="453" spans="1:18" ht="30" hidden="1" customHeight="1" x14ac:dyDescent="0.25">
      <c r="A453" s="174"/>
      <c r="B453" s="174"/>
      <c r="C453" s="174"/>
      <c r="D453" s="174"/>
      <c r="E453" s="171"/>
      <c r="F453" s="38" t="s">
        <v>224</v>
      </c>
      <c r="G453" s="181" t="s">
        <v>466</v>
      </c>
      <c r="H453" s="216" t="s">
        <v>22</v>
      </c>
      <c r="I453" s="282">
        <v>3400</v>
      </c>
      <c r="J453" s="282">
        <f>K453-I453</f>
        <v>1500</v>
      </c>
      <c r="K453" s="282">
        <f>3400+1000+500</f>
        <v>4900</v>
      </c>
      <c r="L453" s="34">
        <f>15000-6750</f>
        <v>8250</v>
      </c>
      <c r="M453" s="34">
        <f>15000-6750</f>
        <v>8250</v>
      </c>
      <c r="N453" s="410"/>
      <c r="O453" s="196"/>
      <c r="Q453" s="194"/>
      <c r="R453" s="194"/>
    </row>
    <row r="454" spans="1:18" ht="30" hidden="1" customHeight="1" x14ac:dyDescent="0.25">
      <c r="A454" s="174"/>
      <c r="B454" s="174"/>
      <c r="C454" s="174"/>
      <c r="D454" s="174"/>
      <c r="E454" s="171"/>
      <c r="F454" s="38" t="s">
        <v>456</v>
      </c>
      <c r="G454" s="181" t="s">
        <v>466</v>
      </c>
      <c r="H454" s="216" t="s">
        <v>22</v>
      </c>
      <c r="I454" s="282">
        <v>0</v>
      </c>
      <c r="J454" s="282">
        <f>K454-I454</f>
        <v>0</v>
      </c>
      <c r="K454" s="282">
        <v>0</v>
      </c>
      <c r="L454" s="34"/>
      <c r="M454" s="34"/>
      <c r="N454" s="410"/>
      <c r="O454" s="196"/>
      <c r="Q454" s="194"/>
      <c r="R454" s="194"/>
    </row>
    <row r="455" spans="1:18" ht="32.25" hidden="1" customHeight="1" x14ac:dyDescent="0.25">
      <c r="A455" s="174"/>
      <c r="B455" s="174"/>
      <c r="C455" s="174"/>
      <c r="D455" s="174"/>
      <c r="E455" s="171" t="s">
        <v>225</v>
      </c>
      <c r="F455" s="38"/>
      <c r="G455" s="181" t="s">
        <v>466</v>
      </c>
      <c r="H455" s="216" t="s">
        <v>22</v>
      </c>
      <c r="I455" s="282">
        <f>I456</f>
        <v>2300</v>
      </c>
      <c r="J455" s="282">
        <f>J456</f>
        <v>0</v>
      </c>
      <c r="K455" s="282">
        <f>K456</f>
        <v>2300</v>
      </c>
      <c r="L455" s="34">
        <f>L456</f>
        <v>20000</v>
      </c>
      <c r="M455" s="34">
        <f>M456</f>
        <v>20000</v>
      </c>
      <c r="N455" s="410"/>
      <c r="O455" s="196"/>
      <c r="Q455" s="194"/>
      <c r="R455" s="194"/>
    </row>
    <row r="456" spans="1:18" ht="20.100000000000001" hidden="1" customHeight="1" x14ac:dyDescent="0.25">
      <c r="A456" s="174"/>
      <c r="B456" s="174"/>
      <c r="C456" s="174"/>
      <c r="D456" s="174"/>
      <c r="E456" s="171"/>
      <c r="F456" s="38" t="s">
        <v>227</v>
      </c>
      <c r="G456" s="181" t="s">
        <v>466</v>
      </c>
      <c r="H456" s="216" t="s">
        <v>22</v>
      </c>
      <c r="I456" s="282">
        <v>2300</v>
      </c>
      <c r="J456" s="282">
        <f>K456-I456</f>
        <v>0</v>
      </c>
      <c r="K456" s="282">
        <v>2300</v>
      </c>
      <c r="L456" s="34">
        <v>20000</v>
      </c>
      <c r="M456" s="34">
        <v>20000</v>
      </c>
      <c r="N456" s="410"/>
      <c r="O456" s="196"/>
      <c r="Q456" s="194"/>
      <c r="R456" s="194"/>
    </row>
    <row r="457" spans="1:18" ht="20.100000000000001" hidden="1" customHeight="1" x14ac:dyDescent="0.25">
      <c r="A457" s="174"/>
      <c r="B457" s="174"/>
      <c r="C457" s="174"/>
      <c r="D457" s="174"/>
      <c r="E457" s="171" t="s">
        <v>228</v>
      </c>
      <c r="F457" s="38"/>
      <c r="G457" s="181" t="s">
        <v>466</v>
      </c>
      <c r="H457" s="216" t="s">
        <v>22</v>
      </c>
      <c r="I457" s="282">
        <f>I458</f>
        <v>16200</v>
      </c>
      <c r="J457" s="282">
        <f>J458</f>
        <v>1000</v>
      </c>
      <c r="K457" s="282">
        <f>K458</f>
        <v>17200</v>
      </c>
      <c r="L457" s="34">
        <f>L458</f>
        <v>56000</v>
      </c>
      <c r="M457" s="34">
        <f>M458</f>
        <v>56000</v>
      </c>
      <c r="N457" s="410"/>
      <c r="O457" s="196"/>
      <c r="Q457" s="194"/>
      <c r="R457" s="194"/>
    </row>
    <row r="458" spans="1:18" ht="20.100000000000001" hidden="1" customHeight="1" x14ac:dyDescent="0.25">
      <c r="A458" s="174"/>
      <c r="B458" s="174"/>
      <c r="C458" s="174"/>
      <c r="D458" s="174"/>
      <c r="E458" s="171"/>
      <c r="F458" s="38" t="s">
        <v>230</v>
      </c>
      <c r="G458" s="181" t="s">
        <v>466</v>
      </c>
      <c r="H458" s="216" t="s">
        <v>22</v>
      </c>
      <c r="I458" s="282">
        <f>6200+10000</f>
        <v>16200</v>
      </c>
      <c r="J458" s="282">
        <f>K458-I458</f>
        <v>1000</v>
      </c>
      <c r="K458" s="282">
        <v>17200</v>
      </c>
      <c r="L458" s="34">
        <v>56000</v>
      </c>
      <c r="M458" s="34">
        <v>56000</v>
      </c>
      <c r="N458" s="410"/>
      <c r="O458" s="196"/>
      <c r="Q458" s="194"/>
      <c r="R458" s="194"/>
    </row>
    <row r="459" spans="1:18" ht="20.100000000000001" hidden="1" customHeight="1" x14ac:dyDescent="0.25">
      <c r="A459" s="174"/>
      <c r="B459" s="174"/>
      <c r="C459" s="174"/>
      <c r="D459" s="174"/>
      <c r="E459" s="171" t="s">
        <v>231</v>
      </c>
      <c r="F459" s="38"/>
      <c r="G459" s="181" t="s">
        <v>466</v>
      </c>
      <c r="H459" s="216" t="s">
        <v>22</v>
      </c>
      <c r="I459" s="282">
        <f>I460+I461+I462+I463+I464</f>
        <v>39100</v>
      </c>
      <c r="J459" s="282">
        <f>J460+J461+J462+J463+J464</f>
        <v>2000</v>
      </c>
      <c r="K459" s="282">
        <f>K460+K461+K462+K463+K464</f>
        <v>41100</v>
      </c>
      <c r="L459" s="34">
        <f>L460+L461+L462+L463+L464</f>
        <v>241350</v>
      </c>
      <c r="M459" s="34">
        <f>M460+M461+M462+M463+M464</f>
        <v>241350</v>
      </c>
      <c r="N459" s="410"/>
      <c r="O459" s="196"/>
      <c r="P459" s="68"/>
      <c r="Q459" s="194"/>
      <c r="R459" s="194"/>
    </row>
    <row r="460" spans="1:18" ht="30" hidden="1" customHeight="1" x14ac:dyDescent="0.25">
      <c r="A460" s="174"/>
      <c r="B460" s="174"/>
      <c r="C460" s="174"/>
      <c r="D460" s="174"/>
      <c r="E460" s="171"/>
      <c r="F460" s="38" t="s">
        <v>233</v>
      </c>
      <c r="G460" s="181" t="s">
        <v>466</v>
      </c>
      <c r="H460" s="216" t="s">
        <v>22</v>
      </c>
      <c r="I460" s="282">
        <v>13000</v>
      </c>
      <c r="J460" s="282">
        <f>K460-I460</f>
        <v>0</v>
      </c>
      <c r="K460" s="282">
        <v>13000</v>
      </c>
      <c r="L460" s="34">
        <v>70000</v>
      </c>
      <c r="M460" s="34">
        <v>70000</v>
      </c>
      <c r="N460" s="410"/>
      <c r="O460" s="196"/>
      <c r="P460" s="68"/>
      <c r="Q460" s="194"/>
      <c r="R460" s="194"/>
    </row>
    <row r="461" spans="1:18" ht="30" hidden="1" customHeight="1" x14ac:dyDescent="0.25">
      <c r="A461" s="174"/>
      <c r="B461" s="174"/>
      <c r="C461" s="174"/>
      <c r="D461" s="174"/>
      <c r="E461" s="171"/>
      <c r="F461" s="38" t="s">
        <v>235</v>
      </c>
      <c r="G461" s="181" t="s">
        <v>466</v>
      </c>
      <c r="H461" s="216" t="s">
        <v>22</v>
      </c>
      <c r="I461" s="282">
        <v>6800</v>
      </c>
      <c r="J461" s="282">
        <f>K461-I461</f>
        <v>0</v>
      </c>
      <c r="K461" s="282">
        <v>6800</v>
      </c>
      <c r="L461" s="34">
        <v>30000</v>
      </c>
      <c r="M461" s="34">
        <v>30000</v>
      </c>
      <c r="N461" s="410"/>
      <c r="O461" s="196"/>
      <c r="P461" s="68"/>
      <c r="Q461" s="194"/>
      <c r="R461" s="194"/>
    </row>
    <row r="462" spans="1:18" ht="30" hidden="1" customHeight="1" x14ac:dyDescent="0.25">
      <c r="A462" s="174"/>
      <c r="B462" s="174"/>
      <c r="C462" s="174"/>
      <c r="D462" s="174"/>
      <c r="E462" s="171"/>
      <c r="F462" s="38" t="s">
        <v>237</v>
      </c>
      <c r="G462" s="181" t="s">
        <v>466</v>
      </c>
      <c r="H462" s="216" t="s">
        <v>22</v>
      </c>
      <c r="I462" s="282">
        <v>6700</v>
      </c>
      <c r="J462" s="282">
        <f>K462-I462</f>
        <v>2000</v>
      </c>
      <c r="K462" s="282">
        <v>8700</v>
      </c>
      <c r="L462" s="34">
        <f>50000-10000</f>
        <v>40000</v>
      </c>
      <c r="M462" s="34">
        <f>50000-10000</f>
        <v>40000</v>
      </c>
      <c r="N462" s="410"/>
      <c r="O462" s="196"/>
      <c r="P462" s="68"/>
      <c r="Q462" s="194"/>
      <c r="R462" s="194"/>
    </row>
    <row r="463" spans="1:18" ht="30" hidden="1" customHeight="1" x14ac:dyDescent="0.25">
      <c r="A463" s="174"/>
      <c r="B463" s="174"/>
      <c r="C463" s="174"/>
      <c r="D463" s="174"/>
      <c r="E463" s="171"/>
      <c r="F463" s="38" t="s">
        <v>239</v>
      </c>
      <c r="G463" s="181" t="s">
        <v>466</v>
      </c>
      <c r="H463" s="216" t="s">
        <v>22</v>
      </c>
      <c r="I463" s="282">
        <v>10700</v>
      </c>
      <c r="J463" s="282">
        <f>K463-I463</f>
        <v>0</v>
      </c>
      <c r="K463" s="282">
        <v>10700</v>
      </c>
      <c r="L463" s="34">
        <v>86350</v>
      </c>
      <c r="M463" s="34">
        <v>86350</v>
      </c>
      <c r="N463" s="410"/>
      <c r="O463" s="196"/>
      <c r="P463" s="68"/>
      <c r="Q463" s="194"/>
      <c r="R463" s="194"/>
    </row>
    <row r="464" spans="1:18" ht="30" hidden="1" customHeight="1" x14ac:dyDescent="0.25">
      <c r="A464" s="174"/>
      <c r="B464" s="174"/>
      <c r="C464" s="174"/>
      <c r="D464" s="174"/>
      <c r="E464" s="171"/>
      <c r="F464" s="38" t="s">
        <v>241</v>
      </c>
      <c r="G464" s="181" t="s">
        <v>466</v>
      </c>
      <c r="H464" s="216" t="s">
        <v>22</v>
      </c>
      <c r="I464" s="282">
        <v>1900</v>
      </c>
      <c r="J464" s="282">
        <f>K464-I464</f>
        <v>0</v>
      </c>
      <c r="K464" s="282">
        <v>1900</v>
      </c>
      <c r="L464" s="34">
        <v>15000</v>
      </c>
      <c r="M464" s="34">
        <v>15000</v>
      </c>
      <c r="N464" s="410"/>
      <c r="O464" s="196"/>
      <c r="P464" s="68"/>
      <c r="Q464" s="194"/>
      <c r="R464" s="194"/>
    </row>
    <row r="465" spans="1:18" s="154" customFormat="1" ht="28.5" hidden="1" customHeight="1" x14ac:dyDescent="0.25">
      <c r="A465" s="219"/>
      <c r="B465" s="219"/>
      <c r="C465" s="172">
        <v>324</v>
      </c>
      <c r="D465" s="174"/>
      <c r="E465" s="171"/>
      <c r="F465" s="38"/>
      <c r="G465" s="181"/>
      <c r="H465" s="216" t="s">
        <v>22</v>
      </c>
      <c r="I465" s="281">
        <f t="shared" ref="I465:M467" si="72">I466</f>
        <v>0</v>
      </c>
      <c r="J465" s="281">
        <f t="shared" si="72"/>
        <v>0</v>
      </c>
      <c r="K465" s="281">
        <f t="shared" si="72"/>
        <v>0</v>
      </c>
      <c r="L465" s="151">
        <f t="shared" si="72"/>
        <v>25000</v>
      </c>
      <c r="M465" s="151">
        <f t="shared" si="72"/>
        <v>25000</v>
      </c>
      <c r="N465" s="410"/>
      <c r="O465" s="196"/>
      <c r="P465" s="68"/>
      <c r="Q465" s="153"/>
      <c r="R465" s="153"/>
    </row>
    <row r="466" spans="1:18" ht="30" hidden="1" customHeight="1" x14ac:dyDescent="0.25">
      <c r="A466" s="174"/>
      <c r="B466" s="174"/>
      <c r="C466" s="174"/>
      <c r="D466" s="174">
        <v>3241</v>
      </c>
      <c r="E466" s="171"/>
      <c r="F466" s="38"/>
      <c r="G466" s="181" t="s">
        <v>466</v>
      </c>
      <c r="H466" s="216" t="s">
        <v>22</v>
      </c>
      <c r="I466" s="282">
        <f t="shared" si="72"/>
        <v>0</v>
      </c>
      <c r="J466" s="282">
        <f t="shared" si="72"/>
        <v>0</v>
      </c>
      <c r="K466" s="282">
        <f t="shared" si="72"/>
        <v>0</v>
      </c>
      <c r="L466" s="39">
        <f t="shared" si="72"/>
        <v>25000</v>
      </c>
      <c r="M466" s="39">
        <f t="shared" si="72"/>
        <v>25000</v>
      </c>
      <c r="N466" s="410"/>
      <c r="O466" s="196"/>
      <c r="P466" s="68"/>
    </row>
    <row r="467" spans="1:18" ht="20.100000000000001" hidden="1" customHeight="1" x14ac:dyDescent="0.25">
      <c r="A467" s="174"/>
      <c r="B467" s="174"/>
      <c r="C467" s="174"/>
      <c r="D467" s="174"/>
      <c r="E467" s="171" t="s">
        <v>243</v>
      </c>
      <c r="F467" s="38"/>
      <c r="G467" s="181" t="s">
        <v>466</v>
      </c>
      <c r="H467" s="216" t="s">
        <v>22</v>
      </c>
      <c r="I467" s="282">
        <f t="shared" si="72"/>
        <v>0</v>
      </c>
      <c r="J467" s="282">
        <f t="shared" si="72"/>
        <v>0</v>
      </c>
      <c r="K467" s="282">
        <f t="shared" si="72"/>
        <v>0</v>
      </c>
      <c r="L467" s="39">
        <f t="shared" si="72"/>
        <v>25000</v>
      </c>
      <c r="M467" s="39">
        <f t="shared" si="72"/>
        <v>25000</v>
      </c>
      <c r="N467" s="410"/>
      <c r="O467" s="196"/>
    </row>
    <row r="468" spans="1:18" ht="36.75" hidden="1" customHeight="1" x14ac:dyDescent="0.25">
      <c r="A468" s="174"/>
      <c r="B468" s="174"/>
      <c r="C468" s="174"/>
      <c r="D468" s="174"/>
      <c r="E468" s="171"/>
      <c r="F468" s="38" t="s">
        <v>245</v>
      </c>
      <c r="G468" s="181" t="s">
        <v>466</v>
      </c>
      <c r="H468" s="216" t="s">
        <v>22</v>
      </c>
      <c r="I468" s="282">
        <v>0</v>
      </c>
      <c r="J468" s="282">
        <f>K468-I468</f>
        <v>0</v>
      </c>
      <c r="K468" s="282">
        <v>0</v>
      </c>
      <c r="L468" s="34">
        <v>25000</v>
      </c>
      <c r="M468" s="34">
        <v>25000</v>
      </c>
      <c r="N468" s="410"/>
      <c r="O468" s="196"/>
    </row>
    <row r="469" spans="1:18" s="150" customFormat="1" ht="20.100000000000001" hidden="1" customHeight="1" x14ac:dyDescent="0.25">
      <c r="A469" s="176"/>
      <c r="B469" s="176"/>
      <c r="C469" s="172">
        <v>329</v>
      </c>
      <c r="D469" s="172"/>
      <c r="E469" s="172"/>
      <c r="F469" s="42"/>
      <c r="G469" s="181" t="s">
        <v>466</v>
      </c>
      <c r="H469" s="216" t="s">
        <v>22</v>
      </c>
      <c r="I469" s="281">
        <f t="shared" ref="I469:K469" si="73">I470+I473+I480+I483+I486+I497+I494</f>
        <v>46900</v>
      </c>
      <c r="J469" s="281">
        <f t="shared" si="73"/>
        <v>11900</v>
      </c>
      <c r="K469" s="281">
        <f t="shared" si="73"/>
        <v>58800</v>
      </c>
      <c r="L469" s="148">
        <f>L470+L473+L480+L483+L486+L497</f>
        <v>242000</v>
      </c>
      <c r="M469" s="148">
        <f>M470+M473+M480+M483+M486+M497</f>
        <v>242000</v>
      </c>
      <c r="N469" s="410"/>
      <c r="O469" s="196"/>
      <c r="P469" s="270"/>
      <c r="Q469" s="149"/>
      <c r="R469" s="149"/>
    </row>
    <row r="470" spans="1:18" ht="30" hidden="1" customHeight="1" x14ac:dyDescent="0.25">
      <c r="A470" s="174"/>
      <c r="B470" s="174"/>
      <c r="C470" s="174"/>
      <c r="D470" s="174">
        <v>3291</v>
      </c>
      <c r="E470" s="174"/>
      <c r="F470" s="44"/>
      <c r="G470" s="181" t="s">
        <v>466</v>
      </c>
      <c r="H470" s="216" t="s">
        <v>22</v>
      </c>
      <c r="I470" s="282">
        <f t="shared" ref="I470:M471" si="74">I471</f>
        <v>10100</v>
      </c>
      <c r="J470" s="282">
        <f t="shared" si="74"/>
        <v>500</v>
      </c>
      <c r="K470" s="282">
        <f t="shared" si="74"/>
        <v>10600</v>
      </c>
      <c r="L470" s="34">
        <f t="shared" si="74"/>
        <v>87000</v>
      </c>
      <c r="M470" s="34">
        <f t="shared" si="74"/>
        <v>87000</v>
      </c>
      <c r="N470" s="410"/>
      <c r="O470" s="196"/>
    </row>
    <row r="471" spans="1:18" ht="30" hidden="1" customHeight="1" x14ac:dyDescent="0.25">
      <c r="A471" s="174"/>
      <c r="B471" s="174"/>
      <c r="C471" s="174"/>
      <c r="D471" s="174"/>
      <c r="E471" s="171" t="s">
        <v>248</v>
      </c>
      <c r="F471" s="38"/>
      <c r="G471" s="181" t="s">
        <v>466</v>
      </c>
      <c r="H471" s="216" t="s">
        <v>22</v>
      </c>
      <c r="I471" s="282">
        <f t="shared" si="74"/>
        <v>10100</v>
      </c>
      <c r="J471" s="282">
        <f t="shared" si="74"/>
        <v>500</v>
      </c>
      <c r="K471" s="282">
        <f t="shared" si="74"/>
        <v>10600</v>
      </c>
      <c r="L471" s="34">
        <f t="shared" si="74"/>
        <v>87000</v>
      </c>
      <c r="M471" s="34">
        <f t="shared" si="74"/>
        <v>87000</v>
      </c>
      <c r="N471" s="410"/>
      <c r="O471" s="196"/>
    </row>
    <row r="472" spans="1:18" ht="30" hidden="1" customHeight="1" x14ac:dyDescent="0.25">
      <c r="A472" s="174"/>
      <c r="B472" s="174"/>
      <c r="C472" s="174"/>
      <c r="D472" s="174"/>
      <c r="E472" s="171"/>
      <c r="F472" s="38" t="s">
        <v>250</v>
      </c>
      <c r="G472" s="181" t="s">
        <v>466</v>
      </c>
      <c r="H472" s="216" t="s">
        <v>22</v>
      </c>
      <c r="I472" s="282">
        <v>10100</v>
      </c>
      <c r="J472" s="282">
        <f>K472-I472</f>
        <v>500</v>
      </c>
      <c r="K472" s="282">
        <v>10600</v>
      </c>
      <c r="L472" s="34">
        <v>87000</v>
      </c>
      <c r="M472" s="34">
        <v>87000</v>
      </c>
      <c r="N472" s="410"/>
      <c r="O472" s="196"/>
    </row>
    <row r="473" spans="1:18" ht="20.100000000000001" hidden="1" customHeight="1" x14ac:dyDescent="0.25">
      <c r="A473" s="174"/>
      <c r="B473" s="174"/>
      <c r="C473" s="174"/>
      <c r="D473" s="174">
        <v>3292</v>
      </c>
      <c r="E473" s="174"/>
      <c r="F473" s="44"/>
      <c r="G473" s="181" t="s">
        <v>466</v>
      </c>
      <c r="H473" s="216" t="s">
        <v>22</v>
      </c>
      <c r="I473" s="282">
        <f>I474+I478+I476</f>
        <v>10600</v>
      </c>
      <c r="J473" s="282">
        <f>J474+J478+J476</f>
        <v>500</v>
      </c>
      <c r="K473" s="282">
        <f>K474+K478+K476</f>
        <v>11100</v>
      </c>
      <c r="L473" s="39">
        <f t="shared" ref="L473:M473" si="75">L474+L478+L476</f>
        <v>60000</v>
      </c>
      <c r="M473" s="39">
        <f t="shared" si="75"/>
        <v>60000</v>
      </c>
      <c r="N473" s="410"/>
      <c r="O473" s="196"/>
    </row>
    <row r="474" spans="1:18" ht="20.100000000000001" hidden="1" customHeight="1" x14ac:dyDescent="0.25">
      <c r="A474" s="174"/>
      <c r="B474" s="174"/>
      <c r="C474" s="174"/>
      <c r="D474" s="174"/>
      <c r="E474" s="171" t="s">
        <v>251</v>
      </c>
      <c r="F474" s="38"/>
      <c r="G474" s="181" t="s">
        <v>466</v>
      </c>
      <c r="H474" s="216" t="s">
        <v>22</v>
      </c>
      <c r="I474" s="282">
        <f>I475</f>
        <v>2700</v>
      </c>
      <c r="J474" s="282">
        <f>J475</f>
        <v>500</v>
      </c>
      <c r="K474" s="282">
        <f>K475</f>
        <v>3200</v>
      </c>
      <c r="L474" s="34">
        <f>L475</f>
        <v>20000</v>
      </c>
      <c r="M474" s="34">
        <f>M475</f>
        <v>20000</v>
      </c>
      <c r="N474" s="410"/>
      <c r="O474" s="196"/>
    </row>
    <row r="475" spans="1:18" ht="20.100000000000001" hidden="1" customHeight="1" x14ac:dyDescent="0.25">
      <c r="A475" s="174"/>
      <c r="B475" s="174"/>
      <c r="C475" s="174"/>
      <c r="D475" s="174"/>
      <c r="E475" s="171"/>
      <c r="F475" s="38" t="s">
        <v>253</v>
      </c>
      <c r="G475" s="181" t="s">
        <v>466</v>
      </c>
      <c r="H475" s="216" t="s">
        <v>22</v>
      </c>
      <c r="I475" s="282">
        <f>2200+500</f>
        <v>2700</v>
      </c>
      <c r="J475" s="282">
        <f>K475-I475</f>
        <v>500</v>
      </c>
      <c r="K475" s="282">
        <v>3200</v>
      </c>
      <c r="L475" s="34">
        <v>20000</v>
      </c>
      <c r="M475" s="34">
        <v>20000</v>
      </c>
      <c r="N475" s="410"/>
      <c r="O475" s="196"/>
    </row>
    <row r="476" spans="1:18" ht="20.100000000000001" hidden="1" customHeight="1" x14ac:dyDescent="0.25">
      <c r="A476" s="174"/>
      <c r="B476" s="174"/>
      <c r="C476" s="174"/>
      <c r="D476" s="174"/>
      <c r="E476" s="171" t="s">
        <v>371</v>
      </c>
      <c r="F476" s="38"/>
      <c r="G476" s="181" t="s">
        <v>466</v>
      </c>
      <c r="H476" s="216" t="s">
        <v>22</v>
      </c>
      <c r="I476" s="282">
        <f>I477</f>
        <v>2400</v>
      </c>
      <c r="J476" s="282">
        <f>J477</f>
        <v>0</v>
      </c>
      <c r="K476" s="282">
        <f>K477</f>
        <v>2400</v>
      </c>
      <c r="L476" s="39">
        <f t="shared" ref="L476:M476" si="76">L477</f>
        <v>15000</v>
      </c>
      <c r="M476" s="39">
        <f t="shared" si="76"/>
        <v>15000</v>
      </c>
      <c r="N476" s="410"/>
      <c r="O476" s="196"/>
    </row>
    <row r="477" spans="1:18" ht="20.100000000000001" hidden="1" customHeight="1" x14ac:dyDescent="0.25">
      <c r="A477" s="174"/>
      <c r="B477" s="174"/>
      <c r="C477" s="174"/>
      <c r="D477" s="174"/>
      <c r="E477" s="171"/>
      <c r="F477" s="38" t="s">
        <v>372</v>
      </c>
      <c r="G477" s="181" t="s">
        <v>466</v>
      </c>
      <c r="H477" s="216" t="s">
        <v>22</v>
      </c>
      <c r="I477" s="282">
        <v>2400</v>
      </c>
      <c r="J477" s="282">
        <f>K477-I477</f>
        <v>0</v>
      </c>
      <c r="K477" s="282">
        <v>2400</v>
      </c>
      <c r="L477" s="34">
        <v>15000</v>
      </c>
      <c r="M477" s="34">
        <v>15000</v>
      </c>
      <c r="N477" s="410"/>
      <c r="O477" s="196"/>
    </row>
    <row r="478" spans="1:18" ht="20.100000000000001" hidden="1" customHeight="1" x14ac:dyDescent="0.25">
      <c r="A478" s="174"/>
      <c r="B478" s="174"/>
      <c r="C478" s="174"/>
      <c r="D478" s="174"/>
      <c r="E478" s="171" t="s">
        <v>254</v>
      </c>
      <c r="F478" s="38"/>
      <c r="G478" s="181" t="s">
        <v>466</v>
      </c>
      <c r="H478" s="216" t="s">
        <v>22</v>
      </c>
      <c r="I478" s="282">
        <f>I479</f>
        <v>5500</v>
      </c>
      <c r="J478" s="282">
        <f>J479</f>
        <v>0</v>
      </c>
      <c r="K478" s="282">
        <f>K479</f>
        <v>5500</v>
      </c>
      <c r="L478" s="34">
        <f>L479</f>
        <v>25000</v>
      </c>
      <c r="M478" s="34">
        <f>M479</f>
        <v>25000</v>
      </c>
      <c r="N478" s="410"/>
      <c r="O478" s="196"/>
    </row>
    <row r="479" spans="1:18" ht="20.100000000000001" hidden="1" customHeight="1" x14ac:dyDescent="0.25">
      <c r="A479" s="174"/>
      <c r="B479" s="174"/>
      <c r="C479" s="174"/>
      <c r="D479" s="174"/>
      <c r="E479" s="171"/>
      <c r="F479" s="38" t="s">
        <v>256</v>
      </c>
      <c r="G479" s="181" t="s">
        <v>466</v>
      </c>
      <c r="H479" s="216" t="s">
        <v>22</v>
      </c>
      <c r="I479" s="282">
        <f>4000+1500</f>
        <v>5500</v>
      </c>
      <c r="J479" s="282">
        <f>K479-I479</f>
        <v>0</v>
      </c>
      <c r="K479" s="282">
        <f>4000+1500</f>
        <v>5500</v>
      </c>
      <c r="L479" s="34">
        <v>25000</v>
      </c>
      <c r="M479" s="34">
        <v>25000</v>
      </c>
      <c r="N479" s="410"/>
      <c r="O479" s="196"/>
    </row>
    <row r="480" spans="1:18" ht="20.100000000000001" hidden="1" customHeight="1" x14ac:dyDescent="0.25">
      <c r="A480" s="174"/>
      <c r="B480" s="174"/>
      <c r="C480" s="174"/>
      <c r="D480" s="174">
        <v>3293</v>
      </c>
      <c r="E480" s="174"/>
      <c r="F480" s="44"/>
      <c r="G480" s="181" t="s">
        <v>466</v>
      </c>
      <c r="H480" s="216" t="s">
        <v>22</v>
      </c>
      <c r="I480" s="282">
        <f t="shared" ref="I480:M481" si="77">I481</f>
        <v>6700</v>
      </c>
      <c r="J480" s="282">
        <f t="shared" si="77"/>
        <v>5500</v>
      </c>
      <c r="K480" s="282">
        <f t="shared" si="77"/>
        <v>12200</v>
      </c>
      <c r="L480" s="34">
        <f t="shared" si="77"/>
        <v>30000</v>
      </c>
      <c r="M480" s="34">
        <f t="shared" si="77"/>
        <v>30000</v>
      </c>
      <c r="N480" s="410"/>
      <c r="O480" s="196"/>
    </row>
    <row r="481" spans="1:18" ht="20.100000000000001" hidden="1" customHeight="1" x14ac:dyDescent="0.25">
      <c r="A481" s="174"/>
      <c r="B481" s="174"/>
      <c r="C481" s="174"/>
      <c r="D481" s="174"/>
      <c r="E481" s="171" t="s">
        <v>257</v>
      </c>
      <c r="F481" s="38"/>
      <c r="G481" s="181" t="s">
        <v>466</v>
      </c>
      <c r="H481" s="216" t="s">
        <v>22</v>
      </c>
      <c r="I481" s="282">
        <f t="shared" si="77"/>
        <v>6700</v>
      </c>
      <c r="J481" s="282">
        <f t="shared" si="77"/>
        <v>5500</v>
      </c>
      <c r="K481" s="282">
        <f t="shared" si="77"/>
        <v>12200</v>
      </c>
      <c r="L481" s="34">
        <f t="shared" si="77"/>
        <v>30000</v>
      </c>
      <c r="M481" s="34">
        <f t="shared" si="77"/>
        <v>30000</v>
      </c>
      <c r="N481" s="410"/>
      <c r="O481" s="196"/>
      <c r="P481" s="412"/>
      <c r="Q481" s="194"/>
      <c r="R481" s="194"/>
    </row>
    <row r="482" spans="1:18" ht="20.100000000000001" hidden="1" customHeight="1" x14ac:dyDescent="0.25">
      <c r="A482" s="174"/>
      <c r="B482" s="174"/>
      <c r="C482" s="174"/>
      <c r="D482" s="174"/>
      <c r="E482" s="171"/>
      <c r="F482" s="38" t="s">
        <v>258</v>
      </c>
      <c r="G482" s="181" t="s">
        <v>466</v>
      </c>
      <c r="H482" s="216" t="s">
        <v>22</v>
      </c>
      <c r="I482" s="282">
        <f>4700+2000</f>
        <v>6700</v>
      </c>
      <c r="J482" s="282">
        <f>K482-I482</f>
        <v>5500</v>
      </c>
      <c r="K482" s="282">
        <f>4700+2000+6000-500</f>
        <v>12200</v>
      </c>
      <c r="L482" s="34">
        <v>30000</v>
      </c>
      <c r="M482" s="34">
        <v>30000</v>
      </c>
      <c r="N482" s="410"/>
      <c r="O482" s="196"/>
      <c r="P482" s="412"/>
      <c r="Q482" s="194"/>
      <c r="R482" s="194"/>
    </row>
    <row r="483" spans="1:18" ht="20.100000000000001" hidden="1" customHeight="1" x14ac:dyDescent="0.25">
      <c r="A483" s="174"/>
      <c r="B483" s="174"/>
      <c r="C483" s="174"/>
      <c r="D483" s="174">
        <v>3294</v>
      </c>
      <c r="E483" s="174"/>
      <c r="F483" s="44"/>
      <c r="G483" s="181" t="s">
        <v>466</v>
      </c>
      <c r="H483" s="216" t="s">
        <v>22</v>
      </c>
      <c r="I483" s="282">
        <f t="shared" ref="I483:M484" si="78">I484</f>
        <v>1800</v>
      </c>
      <c r="J483" s="282">
        <f t="shared" si="78"/>
        <v>0</v>
      </c>
      <c r="K483" s="282">
        <f t="shared" si="78"/>
        <v>1800</v>
      </c>
      <c r="L483" s="34">
        <f t="shared" si="78"/>
        <v>10000</v>
      </c>
      <c r="M483" s="34">
        <f t="shared" si="78"/>
        <v>10000</v>
      </c>
      <c r="N483" s="410"/>
      <c r="O483" s="196"/>
      <c r="P483" s="412"/>
      <c r="Q483" s="194"/>
      <c r="R483" s="194"/>
    </row>
    <row r="484" spans="1:18" ht="20.100000000000001" hidden="1" customHeight="1" x14ac:dyDescent="0.25">
      <c r="A484" s="174"/>
      <c r="B484" s="174"/>
      <c r="C484" s="174"/>
      <c r="D484" s="174"/>
      <c r="E484" s="171" t="s">
        <v>259</v>
      </c>
      <c r="F484" s="38"/>
      <c r="G484" s="181" t="s">
        <v>466</v>
      </c>
      <c r="H484" s="216" t="s">
        <v>22</v>
      </c>
      <c r="I484" s="282">
        <f t="shared" si="78"/>
        <v>1800</v>
      </c>
      <c r="J484" s="282">
        <f t="shared" si="78"/>
        <v>0</v>
      </c>
      <c r="K484" s="282">
        <f t="shared" si="78"/>
        <v>1800</v>
      </c>
      <c r="L484" s="34">
        <f t="shared" si="78"/>
        <v>10000</v>
      </c>
      <c r="M484" s="34">
        <f t="shared" si="78"/>
        <v>10000</v>
      </c>
      <c r="N484" s="410"/>
      <c r="O484" s="196"/>
      <c r="P484" s="412"/>
      <c r="Q484" s="194"/>
      <c r="R484" s="194"/>
    </row>
    <row r="485" spans="1:18" ht="20.100000000000001" hidden="1" customHeight="1" x14ac:dyDescent="0.25">
      <c r="A485" s="174"/>
      <c r="B485" s="174"/>
      <c r="C485" s="174"/>
      <c r="D485" s="174"/>
      <c r="E485" s="171"/>
      <c r="F485" s="38" t="s">
        <v>261</v>
      </c>
      <c r="G485" s="181" t="s">
        <v>466</v>
      </c>
      <c r="H485" s="216" t="s">
        <v>22</v>
      </c>
      <c r="I485" s="282">
        <v>1800</v>
      </c>
      <c r="J485" s="282">
        <f>K485-I485</f>
        <v>0</v>
      </c>
      <c r="K485" s="282">
        <v>1800</v>
      </c>
      <c r="L485" s="34">
        <v>10000</v>
      </c>
      <c r="M485" s="34">
        <v>10000</v>
      </c>
      <c r="N485" s="410"/>
      <c r="O485" s="196"/>
      <c r="P485" s="412"/>
      <c r="Q485" s="194"/>
      <c r="R485" s="194"/>
    </row>
    <row r="486" spans="1:18" ht="20.100000000000001" hidden="1" customHeight="1" x14ac:dyDescent="0.25">
      <c r="A486" s="174"/>
      <c r="B486" s="174"/>
      <c r="C486" s="174"/>
      <c r="D486" s="174">
        <v>3295</v>
      </c>
      <c r="E486" s="174"/>
      <c r="F486" s="44"/>
      <c r="G486" s="181" t="s">
        <v>466</v>
      </c>
      <c r="H486" s="216" t="s">
        <v>22</v>
      </c>
      <c r="I486" s="282">
        <f t="shared" ref="I486:K486" si="79">I489+I491+I487</f>
        <v>10300</v>
      </c>
      <c r="J486" s="282">
        <f t="shared" si="79"/>
        <v>1800</v>
      </c>
      <c r="K486" s="282">
        <f t="shared" si="79"/>
        <v>12100</v>
      </c>
      <c r="L486" s="34">
        <f>L489+L491</f>
        <v>50000</v>
      </c>
      <c r="M486" s="34">
        <f>M489+M491</f>
        <v>50000</v>
      </c>
      <c r="N486" s="410"/>
      <c r="O486" s="196"/>
      <c r="P486" s="412"/>
      <c r="Q486" s="194"/>
      <c r="R486" s="194"/>
    </row>
    <row r="487" spans="1:18" ht="20.100000000000001" hidden="1" customHeight="1" x14ac:dyDescent="0.2">
      <c r="A487" s="174"/>
      <c r="B487" s="174"/>
      <c r="C487" s="174"/>
      <c r="D487" s="174"/>
      <c r="E487" s="85">
        <v>32952</v>
      </c>
      <c r="F487" s="85"/>
      <c r="G487" s="181" t="s">
        <v>466</v>
      </c>
      <c r="H487" s="216" t="s">
        <v>22</v>
      </c>
      <c r="I487" s="282">
        <f t="shared" ref="I487:J487" si="80">I488</f>
        <v>1200</v>
      </c>
      <c r="J487" s="282">
        <f t="shared" si="80"/>
        <v>1800</v>
      </c>
      <c r="K487" s="282">
        <v>3000</v>
      </c>
      <c r="L487" s="34"/>
      <c r="M487" s="34"/>
      <c r="N487" s="410"/>
      <c r="O487" s="196"/>
      <c r="P487" s="412"/>
      <c r="Q487" s="194"/>
      <c r="R487" s="194"/>
    </row>
    <row r="488" spans="1:18" ht="20.100000000000001" hidden="1" customHeight="1" x14ac:dyDescent="0.2">
      <c r="A488" s="174"/>
      <c r="B488" s="174"/>
      <c r="C488" s="174"/>
      <c r="D488" s="174"/>
      <c r="E488" s="85"/>
      <c r="F488" s="85">
        <v>329520</v>
      </c>
      <c r="G488" s="181" t="s">
        <v>466</v>
      </c>
      <c r="H488" s="216" t="s">
        <v>22</v>
      </c>
      <c r="I488" s="282">
        <f>700+500</f>
        <v>1200</v>
      </c>
      <c r="J488" s="282">
        <f>K488-I488</f>
        <v>1800</v>
      </c>
      <c r="K488" s="282">
        <v>3000</v>
      </c>
      <c r="L488" s="34"/>
      <c r="M488" s="34"/>
      <c r="N488" s="410"/>
      <c r="O488" s="196"/>
      <c r="P488" s="412"/>
      <c r="Q488" s="194"/>
      <c r="R488" s="194"/>
    </row>
    <row r="489" spans="1:18" ht="30" hidden="1" customHeight="1" x14ac:dyDescent="0.25">
      <c r="A489" s="174"/>
      <c r="B489" s="174"/>
      <c r="C489" s="174"/>
      <c r="D489" s="174"/>
      <c r="E489" s="171" t="s">
        <v>262</v>
      </c>
      <c r="F489" s="38"/>
      <c r="G489" s="181" t="s">
        <v>466</v>
      </c>
      <c r="H489" s="216" t="s">
        <v>22</v>
      </c>
      <c r="I489" s="282">
        <f>I490</f>
        <v>4000</v>
      </c>
      <c r="J489" s="282">
        <f>J490</f>
        <v>0</v>
      </c>
      <c r="K489" s="282">
        <f>K490</f>
        <v>4000</v>
      </c>
      <c r="L489" s="34">
        <f>L490</f>
        <v>20000</v>
      </c>
      <c r="M489" s="34">
        <f>M490</f>
        <v>20000</v>
      </c>
      <c r="N489" s="410"/>
      <c r="O489" s="196"/>
      <c r="P489" s="412"/>
      <c r="Q489" s="194"/>
      <c r="R489" s="194"/>
    </row>
    <row r="490" spans="1:18" ht="30" hidden="1" customHeight="1" x14ac:dyDescent="0.25">
      <c r="A490" s="174"/>
      <c r="B490" s="174"/>
      <c r="C490" s="174"/>
      <c r="D490" s="174"/>
      <c r="E490" s="171"/>
      <c r="F490" s="38" t="s">
        <v>264</v>
      </c>
      <c r="G490" s="181" t="s">
        <v>466</v>
      </c>
      <c r="H490" s="216" t="s">
        <v>22</v>
      </c>
      <c r="I490" s="282">
        <v>4000</v>
      </c>
      <c r="J490" s="282">
        <f>K490-I490</f>
        <v>0</v>
      </c>
      <c r="K490" s="282">
        <v>4000</v>
      </c>
      <c r="L490" s="34">
        <v>20000</v>
      </c>
      <c r="M490" s="34">
        <v>20000</v>
      </c>
      <c r="N490" s="410"/>
      <c r="O490" s="196"/>
      <c r="P490" s="412"/>
      <c r="Q490" s="194"/>
      <c r="R490" s="194"/>
    </row>
    <row r="491" spans="1:18" ht="20.100000000000001" hidden="1" customHeight="1" x14ac:dyDescent="0.25">
      <c r="A491" s="174"/>
      <c r="B491" s="174"/>
      <c r="C491" s="174"/>
      <c r="D491" s="174"/>
      <c r="E491" s="171" t="s">
        <v>265</v>
      </c>
      <c r="F491" s="38"/>
      <c r="G491" s="181" t="s">
        <v>466</v>
      </c>
      <c r="H491" s="216" t="s">
        <v>22</v>
      </c>
      <c r="I491" s="282">
        <f>I492+I493</f>
        <v>5100</v>
      </c>
      <c r="J491" s="282">
        <f>J492+J493</f>
        <v>0</v>
      </c>
      <c r="K491" s="282">
        <f>K492+K493</f>
        <v>5100</v>
      </c>
      <c r="L491" s="34">
        <f>L492+L493</f>
        <v>30000</v>
      </c>
      <c r="M491" s="34">
        <f>M492+M493</f>
        <v>30000</v>
      </c>
      <c r="N491" s="410"/>
      <c r="O491" s="196"/>
      <c r="P491" s="412"/>
      <c r="Q491" s="194"/>
      <c r="R491" s="194"/>
    </row>
    <row r="492" spans="1:18" ht="30" hidden="1" customHeight="1" x14ac:dyDescent="0.25">
      <c r="A492" s="174"/>
      <c r="B492" s="174"/>
      <c r="C492" s="174"/>
      <c r="D492" s="174"/>
      <c r="E492" s="171"/>
      <c r="F492" s="38" t="s">
        <v>267</v>
      </c>
      <c r="G492" s="181" t="s">
        <v>466</v>
      </c>
      <c r="H492" s="216" t="s">
        <v>22</v>
      </c>
      <c r="I492" s="282">
        <v>3200</v>
      </c>
      <c r="J492" s="282">
        <f>K492-I492</f>
        <v>0</v>
      </c>
      <c r="K492" s="282">
        <v>3200</v>
      </c>
      <c r="L492" s="34">
        <v>24000</v>
      </c>
      <c r="M492" s="34">
        <v>24000</v>
      </c>
      <c r="N492" s="410"/>
      <c r="O492" s="196"/>
      <c r="P492" s="412"/>
      <c r="Q492" s="194"/>
      <c r="R492" s="194"/>
    </row>
    <row r="493" spans="1:18" ht="20.100000000000001" hidden="1" customHeight="1" x14ac:dyDescent="0.25">
      <c r="A493" s="174"/>
      <c r="B493" s="174"/>
      <c r="C493" s="174"/>
      <c r="D493" s="174"/>
      <c r="E493" s="171"/>
      <c r="F493" s="38" t="s">
        <v>269</v>
      </c>
      <c r="G493" s="181" t="s">
        <v>466</v>
      </c>
      <c r="H493" s="216" t="s">
        <v>22</v>
      </c>
      <c r="I493" s="282">
        <v>1900</v>
      </c>
      <c r="J493" s="282">
        <f>K493-I493</f>
        <v>0</v>
      </c>
      <c r="K493" s="282">
        <v>1900</v>
      </c>
      <c r="L493" s="34">
        <v>6000</v>
      </c>
      <c r="M493" s="34">
        <v>6000</v>
      </c>
      <c r="N493" s="410"/>
      <c r="O493" s="196"/>
      <c r="P493" s="412"/>
      <c r="Q493" s="194"/>
      <c r="R493" s="194"/>
    </row>
    <row r="494" spans="1:18" ht="20.100000000000001" hidden="1" customHeight="1" x14ac:dyDescent="0.25">
      <c r="A494" s="174"/>
      <c r="B494" s="174"/>
      <c r="C494" s="174"/>
      <c r="D494" s="174">
        <v>3296</v>
      </c>
      <c r="E494" s="174"/>
      <c r="F494" s="44"/>
      <c r="G494" s="181" t="s">
        <v>466</v>
      </c>
      <c r="H494" s="216" t="s">
        <v>22</v>
      </c>
      <c r="I494" s="282">
        <f t="shared" ref="I494:K495" si="81">I495</f>
        <v>400</v>
      </c>
      <c r="J494" s="282">
        <f t="shared" si="81"/>
        <v>3600</v>
      </c>
      <c r="K494" s="282">
        <f t="shared" si="81"/>
        <v>4000</v>
      </c>
      <c r="L494" s="34"/>
      <c r="M494" s="34"/>
      <c r="N494" s="410"/>
      <c r="O494" s="196"/>
      <c r="P494" s="412"/>
      <c r="Q494" s="194"/>
      <c r="R494" s="194"/>
    </row>
    <row r="495" spans="1:18" ht="20.100000000000001" hidden="1" customHeight="1" x14ac:dyDescent="0.25">
      <c r="A495" s="174"/>
      <c r="B495" s="174"/>
      <c r="C495" s="174"/>
      <c r="D495" s="174"/>
      <c r="E495" s="174">
        <v>32961</v>
      </c>
      <c r="F495" s="44"/>
      <c r="G495" s="181" t="s">
        <v>466</v>
      </c>
      <c r="H495" s="216" t="s">
        <v>22</v>
      </c>
      <c r="I495" s="282">
        <f t="shared" si="81"/>
        <v>400</v>
      </c>
      <c r="J495" s="282">
        <f t="shared" si="81"/>
        <v>3600</v>
      </c>
      <c r="K495" s="282">
        <f t="shared" si="81"/>
        <v>4000</v>
      </c>
      <c r="L495" s="34"/>
      <c r="M495" s="34"/>
      <c r="N495" s="410"/>
      <c r="O495" s="196"/>
      <c r="P495" s="412"/>
      <c r="Q495" s="194"/>
      <c r="R495" s="194"/>
    </row>
    <row r="496" spans="1:18" ht="20.100000000000001" hidden="1" customHeight="1" x14ac:dyDescent="0.25">
      <c r="A496" s="174"/>
      <c r="B496" s="174"/>
      <c r="C496" s="174"/>
      <c r="D496" s="174"/>
      <c r="E496" s="174"/>
      <c r="F496" s="44">
        <v>329610</v>
      </c>
      <c r="G496" s="181" t="s">
        <v>466</v>
      </c>
      <c r="H496" s="216" t="s">
        <v>22</v>
      </c>
      <c r="I496" s="282">
        <v>400</v>
      </c>
      <c r="J496" s="282">
        <f>K496-I496</f>
        <v>3600</v>
      </c>
      <c r="K496" s="282">
        <v>4000</v>
      </c>
      <c r="L496" s="34"/>
      <c r="M496" s="34"/>
      <c r="N496" s="410"/>
      <c r="O496" s="196"/>
      <c r="P496" s="412"/>
      <c r="Q496" s="194"/>
      <c r="R496" s="194"/>
    </row>
    <row r="497" spans="1:18" ht="20.100000000000001" hidden="1" customHeight="1" x14ac:dyDescent="0.25">
      <c r="A497" s="174"/>
      <c r="B497" s="174"/>
      <c r="C497" s="174"/>
      <c r="D497" s="174">
        <v>3299</v>
      </c>
      <c r="E497" s="174"/>
      <c r="F497" s="44"/>
      <c r="G497" s="181" t="s">
        <v>466</v>
      </c>
      <c r="H497" s="216" t="s">
        <v>22</v>
      </c>
      <c r="I497" s="282">
        <f>I499</f>
        <v>7000</v>
      </c>
      <c r="J497" s="282">
        <f>J499</f>
        <v>0</v>
      </c>
      <c r="K497" s="282">
        <f>K499</f>
        <v>7000</v>
      </c>
      <c r="L497" s="34">
        <f>L499</f>
        <v>5000</v>
      </c>
      <c r="M497" s="34">
        <f>M499</f>
        <v>5000</v>
      </c>
      <c r="N497" s="410"/>
      <c r="O497" s="196"/>
      <c r="P497" s="412"/>
      <c r="Q497" s="194"/>
      <c r="R497" s="194"/>
    </row>
    <row r="498" spans="1:18" ht="30" hidden="1" customHeight="1" x14ac:dyDescent="0.25">
      <c r="A498" s="174"/>
      <c r="B498" s="174"/>
      <c r="C498" s="174"/>
      <c r="D498" s="174"/>
      <c r="E498" s="171" t="s">
        <v>272</v>
      </c>
      <c r="F498" s="38"/>
      <c r="G498" s="181" t="s">
        <v>466</v>
      </c>
      <c r="H498" s="216" t="s">
        <v>22</v>
      </c>
      <c r="I498" s="282">
        <v>0</v>
      </c>
      <c r="J498" s="282">
        <v>0</v>
      </c>
      <c r="K498" s="282">
        <v>0</v>
      </c>
      <c r="L498" s="34"/>
      <c r="M498" s="34"/>
      <c r="N498" s="410"/>
      <c r="O498" s="196"/>
      <c r="P498" s="412"/>
      <c r="Q498" s="194"/>
      <c r="R498" s="194"/>
    </row>
    <row r="499" spans="1:18" ht="20.100000000000001" hidden="1" customHeight="1" x14ac:dyDescent="0.25">
      <c r="A499" s="174"/>
      <c r="B499" s="174"/>
      <c r="C499" s="174"/>
      <c r="D499" s="174"/>
      <c r="E499" s="171" t="s">
        <v>274</v>
      </c>
      <c r="F499" s="38"/>
      <c r="G499" s="181" t="s">
        <v>466</v>
      </c>
      <c r="H499" s="216" t="s">
        <v>22</v>
      </c>
      <c r="I499" s="282">
        <f>I500</f>
        <v>7000</v>
      </c>
      <c r="J499" s="282">
        <f>J500</f>
        <v>0</v>
      </c>
      <c r="K499" s="282">
        <f>K500</f>
        <v>7000</v>
      </c>
      <c r="L499" s="34">
        <f>L500</f>
        <v>5000</v>
      </c>
      <c r="M499" s="34">
        <f>M500</f>
        <v>5000</v>
      </c>
      <c r="N499" s="410"/>
      <c r="O499" s="196"/>
      <c r="P499" s="412"/>
      <c r="Q499" s="194"/>
      <c r="R499" s="194"/>
    </row>
    <row r="500" spans="1:18" ht="20.100000000000001" hidden="1" customHeight="1" x14ac:dyDescent="0.25">
      <c r="A500" s="174"/>
      <c r="B500" s="174"/>
      <c r="C500" s="174"/>
      <c r="D500" s="174"/>
      <c r="E500" s="171"/>
      <c r="F500" s="38" t="s">
        <v>275</v>
      </c>
      <c r="G500" s="181" t="s">
        <v>466</v>
      </c>
      <c r="H500" s="216" t="s">
        <v>22</v>
      </c>
      <c r="I500" s="282">
        <f>4000+3000</f>
        <v>7000</v>
      </c>
      <c r="J500" s="282">
        <f>K500-I500</f>
        <v>0</v>
      </c>
      <c r="K500" s="282">
        <f>4000+3000</f>
        <v>7000</v>
      </c>
      <c r="L500" s="34">
        <v>5000</v>
      </c>
      <c r="M500" s="34">
        <v>5000</v>
      </c>
      <c r="N500" s="410"/>
      <c r="O500" s="196"/>
      <c r="P500" s="412"/>
      <c r="Q500" s="194"/>
      <c r="R500" s="194"/>
    </row>
    <row r="501" spans="1:18" s="21" customFormat="1" ht="20.100000000000001" customHeight="1" x14ac:dyDescent="0.25">
      <c r="A501" s="172"/>
      <c r="B501" s="172">
        <v>34</v>
      </c>
      <c r="C501" s="172"/>
      <c r="D501" s="172"/>
      <c r="E501" s="172"/>
      <c r="F501" s="42"/>
      <c r="G501" s="181" t="s">
        <v>466</v>
      </c>
      <c r="H501" s="43" t="s">
        <v>51</v>
      </c>
      <c r="I501" s="281">
        <f>I502</f>
        <v>2900</v>
      </c>
      <c r="J501" s="281">
        <f>J502</f>
        <v>500</v>
      </c>
      <c r="K501" s="281">
        <f>K502</f>
        <v>3400</v>
      </c>
      <c r="L501" s="45">
        <f t="shared" ref="L501:M501" si="82">L502</f>
        <v>14600</v>
      </c>
      <c r="M501" s="45">
        <f t="shared" si="82"/>
        <v>14600</v>
      </c>
      <c r="N501" s="410"/>
      <c r="O501" s="196"/>
      <c r="P501" s="270"/>
      <c r="Q501" s="20"/>
      <c r="R501" s="20"/>
    </row>
    <row r="502" spans="1:18" s="150" customFormat="1" ht="20.100000000000001" hidden="1" customHeight="1" x14ac:dyDescent="0.25">
      <c r="A502" s="176"/>
      <c r="B502" s="176"/>
      <c r="C502" s="172">
        <v>343</v>
      </c>
      <c r="D502" s="172"/>
      <c r="E502" s="172"/>
      <c r="F502" s="42"/>
      <c r="G502" s="181" t="s">
        <v>466</v>
      </c>
      <c r="H502" s="43" t="s">
        <v>52</v>
      </c>
      <c r="I502" s="281">
        <f>I503+I508</f>
        <v>2900</v>
      </c>
      <c r="J502" s="281">
        <f>J503+J508</f>
        <v>500</v>
      </c>
      <c r="K502" s="281">
        <f>K503+K508</f>
        <v>3400</v>
      </c>
      <c r="L502" s="151">
        <f t="shared" ref="L502:M502" si="83">L503+L508</f>
        <v>14600</v>
      </c>
      <c r="M502" s="151">
        <f t="shared" si="83"/>
        <v>14600</v>
      </c>
      <c r="N502" s="410"/>
      <c r="O502" s="196"/>
      <c r="P502" s="270"/>
      <c r="Q502" s="149"/>
      <c r="R502" s="149"/>
    </row>
    <row r="503" spans="1:18" ht="20.100000000000001" hidden="1" customHeight="1" x14ac:dyDescent="0.25">
      <c r="A503" s="174"/>
      <c r="B503" s="174"/>
      <c r="C503" s="174"/>
      <c r="D503" s="174">
        <v>3431</v>
      </c>
      <c r="E503" s="174"/>
      <c r="F503" s="44"/>
      <c r="G503" s="181" t="s">
        <v>466</v>
      </c>
      <c r="H503" s="38" t="s">
        <v>53</v>
      </c>
      <c r="I503" s="282">
        <f t="shared" ref="I503:M504" si="84">I504</f>
        <v>2800</v>
      </c>
      <c r="J503" s="282">
        <f t="shared" si="84"/>
        <v>500</v>
      </c>
      <c r="K503" s="282">
        <f t="shared" si="84"/>
        <v>3300</v>
      </c>
      <c r="L503" s="34">
        <f t="shared" si="84"/>
        <v>14500</v>
      </c>
      <c r="M503" s="34">
        <f t="shared" si="84"/>
        <v>14500</v>
      </c>
      <c r="N503" s="410"/>
      <c r="O503" s="196"/>
    </row>
    <row r="504" spans="1:18" ht="20.100000000000001" hidden="1" customHeight="1" x14ac:dyDescent="0.25">
      <c r="A504" s="174"/>
      <c r="B504" s="174"/>
      <c r="C504" s="174"/>
      <c r="D504" s="174"/>
      <c r="E504" s="171" t="s">
        <v>276</v>
      </c>
      <c r="F504" s="38"/>
      <c r="G504" s="181" t="s">
        <v>466</v>
      </c>
      <c r="H504" s="38" t="s">
        <v>277</v>
      </c>
      <c r="I504" s="282">
        <f t="shared" si="84"/>
        <v>2800</v>
      </c>
      <c r="J504" s="282">
        <f t="shared" si="84"/>
        <v>500</v>
      </c>
      <c r="K504" s="282">
        <f t="shared" si="84"/>
        <v>3300</v>
      </c>
      <c r="L504" s="34">
        <f t="shared" si="84"/>
        <v>14500</v>
      </c>
      <c r="M504" s="34">
        <f t="shared" si="84"/>
        <v>14500</v>
      </c>
      <c r="N504" s="410"/>
      <c r="O504" s="196"/>
    </row>
    <row r="505" spans="1:18" ht="20.100000000000001" hidden="1" customHeight="1" x14ac:dyDescent="0.25">
      <c r="A505" s="174"/>
      <c r="B505" s="174"/>
      <c r="C505" s="174"/>
      <c r="D505" s="174"/>
      <c r="E505" s="171"/>
      <c r="F505" s="38" t="s">
        <v>278</v>
      </c>
      <c r="G505" s="181" t="s">
        <v>466</v>
      </c>
      <c r="H505" s="38" t="s">
        <v>277</v>
      </c>
      <c r="I505" s="282">
        <v>2800</v>
      </c>
      <c r="J505" s="282">
        <f>K505-I505</f>
        <v>500</v>
      </c>
      <c r="K505" s="282">
        <v>3300</v>
      </c>
      <c r="L505" s="34">
        <v>14500</v>
      </c>
      <c r="M505" s="34">
        <v>14500</v>
      </c>
      <c r="N505" s="410"/>
      <c r="O505" s="196"/>
    </row>
    <row r="506" spans="1:18" ht="20.100000000000001" hidden="1" customHeight="1" x14ac:dyDescent="0.25">
      <c r="A506" s="174"/>
      <c r="B506" s="174"/>
      <c r="C506" s="174"/>
      <c r="D506" s="174"/>
      <c r="E506" s="171" t="s">
        <v>279</v>
      </c>
      <c r="F506" s="38"/>
      <c r="G506" s="181" t="s">
        <v>466</v>
      </c>
      <c r="H506" s="38" t="s">
        <v>280</v>
      </c>
      <c r="I506" s="282"/>
      <c r="J506" s="282"/>
      <c r="K506" s="282"/>
      <c r="L506" s="34"/>
      <c r="M506" s="34"/>
      <c r="N506" s="410"/>
      <c r="O506" s="196"/>
    </row>
    <row r="507" spans="1:18" ht="20.100000000000001" hidden="1" customHeight="1" x14ac:dyDescent="0.25">
      <c r="A507" s="174"/>
      <c r="B507" s="174"/>
      <c r="C507" s="174"/>
      <c r="D507" s="174"/>
      <c r="E507" s="171"/>
      <c r="F507" s="38" t="s">
        <v>281</v>
      </c>
      <c r="G507" s="181" t="s">
        <v>466</v>
      </c>
      <c r="H507" s="38" t="s">
        <v>280</v>
      </c>
      <c r="I507" s="282"/>
      <c r="J507" s="282"/>
      <c r="K507" s="282"/>
      <c r="L507" s="34"/>
      <c r="M507" s="34"/>
      <c r="N507" s="410"/>
      <c r="O507" s="196"/>
    </row>
    <row r="508" spans="1:18" ht="20.100000000000001" hidden="1" customHeight="1" x14ac:dyDescent="0.25">
      <c r="A508" s="174"/>
      <c r="B508" s="174"/>
      <c r="C508" s="174"/>
      <c r="D508" s="174">
        <v>3433</v>
      </c>
      <c r="E508" s="171"/>
      <c r="F508" s="38"/>
      <c r="G508" s="181" t="s">
        <v>466</v>
      </c>
      <c r="H508" s="38" t="s">
        <v>54</v>
      </c>
      <c r="I508" s="282">
        <f t="shared" ref="I508:M509" si="85">I509</f>
        <v>100</v>
      </c>
      <c r="J508" s="282">
        <f t="shared" si="85"/>
        <v>0</v>
      </c>
      <c r="K508" s="282">
        <f t="shared" si="85"/>
        <v>100</v>
      </c>
      <c r="L508" s="34">
        <f t="shared" si="85"/>
        <v>100</v>
      </c>
      <c r="M508" s="34">
        <f t="shared" si="85"/>
        <v>100</v>
      </c>
      <c r="N508" s="410"/>
      <c r="O508" s="196"/>
    </row>
    <row r="509" spans="1:18" ht="20.100000000000001" hidden="1" customHeight="1" x14ac:dyDescent="0.25">
      <c r="A509" s="174"/>
      <c r="B509" s="174"/>
      <c r="C509" s="174"/>
      <c r="D509" s="174"/>
      <c r="E509" s="171" t="s">
        <v>282</v>
      </c>
      <c r="F509" s="38"/>
      <c r="G509" s="181" t="s">
        <v>466</v>
      </c>
      <c r="H509" s="38" t="s">
        <v>54</v>
      </c>
      <c r="I509" s="282">
        <v>100</v>
      </c>
      <c r="J509" s="282">
        <f t="shared" si="85"/>
        <v>0</v>
      </c>
      <c r="K509" s="282">
        <v>100</v>
      </c>
      <c r="L509" s="34">
        <f t="shared" si="85"/>
        <v>100</v>
      </c>
      <c r="M509" s="34">
        <f t="shared" si="85"/>
        <v>100</v>
      </c>
      <c r="N509" s="410"/>
      <c r="O509" s="196"/>
    </row>
    <row r="510" spans="1:18" ht="20.100000000000001" hidden="1" customHeight="1" x14ac:dyDescent="0.25">
      <c r="A510" s="174"/>
      <c r="B510" s="174"/>
      <c r="C510" s="174"/>
      <c r="D510" s="174"/>
      <c r="E510" s="171"/>
      <c r="F510" s="38" t="s">
        <v>283</v>
      </c>
      <c r="G510" s="181" t="s">
        <v>466</v>
      </c>
      <c r="H510" s="38" t="s">
        <v>54</v>
      </c>
      <c r="I510" s="282">
        <v>100</v>
      </c>
      <c r="J510" s="282">
        <f>K510-I510</f>
        <v>0</v>
      </c>
      <c r="K510" s="282">
        <v>100</v>
      </c>
      <c r="L510" s="34">
        <v>100</v>
      </c>
      <c r="M510" s="34">
        <v>100</v>
      </c>
      <c r="N510" s="410"/>
      <c r="O510" s="196"/>
    </row>
    <row r="511" spans="1:18" s="21" customFormat="1" ht="29.25" hidden="1" customHeight="1" x14ac:dyDescent="0.25">
      <c r="A511" s="172"/>
      <c r="B511" s="172">
        <v>37</v>
      </c>
      <c r="C511" s="172"/>
      <c r="D511" s="172"/>
      <c r="E511" s="172"/>
      <c r="F511" s="42"/>
      <c r="G511" s="181">
        <v>34</v>
      </c>
      <c r="H511" s="43" t="s">
        <v>55</v>
      </c>
      <c r="I511" s="281">
        <f t="shared" ref="I511:K514" si="86">I512</f>
        <v>0</v>
      </c>
      <c r="J511" s="281">
        <f t="shared" si="86"/>
        <v>0</v>
      </c>
      <c r="K511" s="281">
        <f t="shared" si="86"/>
        <v>0</v>
      </c>
      <c r="L511" s="31"/>
      <c r="M511" s="31"/>
      <c r="N511" s="410"/>
      <c r="O511" s="196"/>
      <c r="P511" s="270"/>
      <c r="Q511" s="20"/>
      <c r="R511" s="20"/>
    </row>
    <row r="512" spans="1:18" s="21" customFormat="1" ht="27" hidden="1" customHeight="1" x14ac:dyDescent="0.25">
      <c r="A512" s="172"/>
      <c r="B512" s="172"/>
      <c r="C512" s="172">
        <v>372</v>
      </c>
      <c r="D512" s="172"/>
      <c r="E512" s="172"/>
      <c r="F512" s="42"/>
      <c r="G512" s="181">
        <v>34</v>
      </c>
      <c r="H512" s="43" t="s">
        <v>323</v>
      </c>
      <c r="I512" s="281">
        <f t="shared" si="86"/>
        <v>0</v>
      </c>
      <c r="J512" s="281">
        <f t="shared" si="86"/>
        <v>0</v>
      </c>
      <c r="K512" s="281">
        <f t="shared" si="86"/>
        <v>0</v>
      </c>
      <c r="L512" s="31"/>
      <c r="M512" s="31"/>
      <c r="N512" s="410"/>
      <c r="O512" s="196"/>
      <c r="P512" s="270"/>
      <c r="Q512" s="20"/>
      <c r="R512" s="20"/>
    </row>
    <row r="513" spans="1:18" ht="20.100000000000001" hidden="1" customHeight="1" x14ac:dyDescent="0.25">
      <c r="A513" s="174"/>
      <c r="B513" s="174"/>
      <c r="C513" s="174"/>
      <c r="D513" s="174">
        <v>3721</v>
      </c>
      <c r="E513" s="174"/>
      <c r="F513" s="44"/>
      <c r="G513" s="181">
        <v>34</v>
      </c>
      <c r="H513" s="38" t="s">
        <v>284</v>
      </c>
      <c r="I513" s="282">
        <f t="shared" si="86"/>
        <v>0</v>
      </c>
      <c r="J513" s="282">
        <f t="shared" si="86"/>
        <v>0</v>
      </c>
      <c r="K513" s="282">
        <f t="shared" si="86"/>
        <v>0</v>
      </c>
      <c r="L513" s="31"/>
      <c r="M513" s="31"/>
      <c r="N513" s="410"/>
      <c r="O513" s="196"/>
    </row>
    <row r="514" spans="1:18" ht="20.100000000000001" hidden="1" customHeight="1" x14ac:dyDescent="0.25">
      <c r="A514" s="174"/>
      <c r="B514" s="174"/>
      <c r="C514" s="174"/>
      <c r="D514" s="174"/>
      <c r="E514" s="171" t="s">
        <v>285</v>
      </c>
      <c r="F514" s="38"/>
      <c r="G514" s="181">
        <v>34</v>
      </c>
      <c r="H514" s="38" t="s">
        <v>286</v>
      </c>
      <c r="I514" s="282">
        <f t="shared" si="86"/>
        <v>0</v>
      </c>
      <c r="J514" s="282">
        <f t="shared" si="86"/>
        <v>0</v>
      </c>
      <c r="K514" s="282">
        <f t="shared" si="86"/>
        <v>0</v>
      </c>
      <c r="L514" s="31"/>
      <c r="M514" s="31"/>
      <c r="N514" s="410"/>
      <c r="O514" s="196"/>
    </row>
    <row r="515" spans="1:18" ht="20.100000000000001" hidden="1" customHeight="1" x14ac:dyDescent="0.25">
      <c r="A515" s="174"/>
      <c r="B515" s="174"/>
      <c r="C515" s="174"/>
      <c r="D515" s="174"/>
      <c r="E515" s="171"/>
      <c r="F515" s="38" t="s">
        <v>287</v>
      </c>
      <c r="G515" s="181">
        <v>34</v>
      </c>
      <c r="H515" s="38" t="s">
        <v>286</v>
      </c>
      <c r="I515" s="282">
        <v>0</v>
      </c>
      <c r="J515" s="282">
        <v>0</v>
      </c>
      <c r="K515" s="282">
        <f>I515+J515</f>
        <v>0</v>
      </c>
      <c r="L515" s="31"/>
      <c r="M515" s="31"/>
      <c r="N515" s="410"/>
      <c r="O515" s="196"/>
    </row>
    <row r="516" spans="1:18" ht="20.100000000000001" hidden="1" customHeight="1" x14ac:dyDescent="0.25">
      <c r="A516" s="174"/>
      <c r="B516" s="172">
        <v>38</v>
      </c>
      <c r="C516" s="174"/>
      <c r="D516" s="174"/>
      <c r="E516" s="171"/>
      <c r="F516" s="38"/>
      <c r="G516" s="181"/>
      <c r="H516" s="43" t="s">
        <v>57</v>
      </c>
      <c r="I516" s="281">
        <f t="shared" ref="I516:M519" si="87">I517</f>
        <v>0</v>
      </c>
      <c r="J516" s="281">
        <f t="shared" si="87"/>
        <v>0</v>
      </c>
      <c r="K516" s="281">
        <f t="shared" si="87"/>
        <v>0</v>
      </c>
      <c r="L516" s="31">
        <f t="shared" si="87"/>
        <v>0</v>
      </c>
      <c r="M516" s="31">
        <f t="shared" si="87"/>
        <v>0</v>
      </c>
      <c r="N516" s="410"/>
      <c r="O516" s="196"/>
    </row>
    <row r="517" spans="1:18" s="21" customFormat="1" ht="20.100000000000001" hidden="1" customHeight="1" x14ac:dyDescent="0.25">
      <c r="A517" s="172"/>
      <c r="B517" s="172"/>
      <c r="C517" s="172">
        <v>381</v>
      </c>
      <c r="D517" s="172"/>
      <c r="E517" s="173"/>
      <c r="F517" s="43"/>
      <c r="G517" s="181"/>
      <c r="H517" s="43" t="s">
        <v>58</v>
      </c>
      <c r="I517" s="281">
        <f t="shared" si="87"/>
        <v>0</v>
      </c>
      <c r="J517" s="281">
        <f t="shared" si="87"/>
        <v>0</v>
      </c>
      <c r="K517" s="281">
        <f t="shared" si="87"/>
        <v>0</v>
      </c>
      <c r="L517" s="31">
        <f t="shared" si="87"/>
        <v>0</v>
      </c>
      <c r="M517" s="31">
        <f t="shared" si="87"/>
        <v>0</v>
      </c>
      <c r="N517" s="410"/>
      <c r="O517" s="196"/>
      <c r="P517" s="270"/>
      <c r="Q517" s="20"/>
      <c r="R517" s="20"/>
    </row>
    <row r="518" spans="1:18" ht="20.100000000000001" hidden="1" customHeight="1" x14ac:dyDescent="0.25">
      <c r="A518" s="174"/>
      <c r="B518" s="174"/>
      <c r="C518" s="174"/>
      <c r="D518" s="174">
        <v>3811</v>
      </c>
      <c r="E518" s="171"/>
      <c r="F518" s="38"/>
      <c r="G518" s="181">
        <v>34</v>
      </c>
      <c r="H518" s="38" t="s">
        <v>59</v>
      </c>
      <c r="I518" s="282">
        <f t="shared" si="87"/>
        <v>0</v>
      </c>
      <c r="J518" s="282">
        <f t="shared" si="87"/>
        <v>0</v>
      </c>
      <c r="K518" s="282">
        <f t="shared" si="87"/>
        <v>0</v>
      </c>
      <c r="L518" s="34">
        <f t="shared" si="87"/>
        <v>0</v>
      </c>
      <c r="M518" s="34">
        <f t="shared" si="87"/>
        <v>0</v>
      </c>
      <c r="N518" s="410"/>
      <c r="O518" s="196"/>
    </row>
    <row r="519" spans="1:18" ht="27" hidden="1" customHeight="1" x14ac:dyDescent="0.25">
      <c r="A519" s="174"/>
      <c r="B519" s="174"/>
      <c r="C519" s="174"/>
      <c r="D519" s="174"/>
      <c r="E519" s="171" t="s">
        <v>356</v>
      </c>
      <c r="F519" s="38"/>
      <c r="G519" s="181">
        <v>34</v>
      </c>
      <c r="H519" s="38" t="s">
        <v>357</v>
      </c>
      <c r="I519" s="282">
        <f t="shared" si="87"/>
        <v>0</v>
      </c>
      <c r="J519" s="282">
        <f t="shared" si="87"/>
        <v>0</v>
      </c>
      <c r="K519" s="282">
        <f t="shared" si="87"/>
        <v>0</v>
      </c>
      <c r="L519" s="39">
        <f t="shared" si="87"/>
        <v>0</v>
      </c>
      <c r="M519" s="39">
        <f t="shared" si="87"/>
        <v>0</v>
      </c>
      <c r="N519" s="410"/>
      <c r="O519" s="196"/>
    </row>
    <row r="520" spans="1:18" ht="28.5" hidden="1" customHeight="1" x14ac:dyDescent="0.25">
      <c r="A520" s="174"/>
      <c r="B520" s="174"/>
      <c r="C520" s="174"/>
      <c r="D520" s="174"/>
      <c r="E520" s="171"/>
      <c r="F520" s="38" t="s">
        <v>358</v>
      </c>
      <c r="G520" s="181">
        <v>34</v>
      </c>
      <c r="H520" s="38" t="s">
        <v>357</v>
      </c>
      <c r="I520" s="282">
        <v>0</v>
      </c>
      <c r="J520" s="282">
        <v>0</v>
      </c>
      <c r="K520" s="282">
        <f>I520+J520</f>
        <v>0</v>
      </c>
      <c r="L520" s="34">
        <v>0</v>
      </c>
      <c r="M520" s="34">
        <v>0</v>
      </c>
      <c r="N520" s="410"/>
      <c r="O520" s="196"/>
    </row>
    <row r="521" spans="1:18" ht="28.5" customHeight="1" x14ac:dyDescent="0.25">
      <c r="A521" s="312"/>
      <c r="B521" s="312"/>
      <c r="C521" s="312"/>
      <c r="D521" s="312"/>
      <c r="E521" s="312"/>
      <c r="F521" s="312"/>
      <c r="G521" s="312"/>
      <c r="H521" s="315" t="s">
        <v>288</v>
      </c>
      <c r="I521" s="414"/>
      <c r="J521" s="414"/>
      <c r="K521" s="414"/>
      <c r="L521" s="34"/>
      <c r="M521" s="34"/>
      <c r="N521" s="410"/>
      <c r="O521" s="429"/>
      <c r="P521" s="429"/>
      <c r="Q521" s="429"/>
    </row>
    <row r="522" spans="1:18" ht="28.5" customHeight="1" x14ac:dyDescent="0.25">
      <c r="A522" s="172">
        <v>3</v>
      </c>
      <c r="B522" s="174"/>
      <c r="C522" s="174"/>
      <c r="D522" s="174"/>
      <c r="E522" s="171"/>
      <c r="F522" s="38"/>
      <c r="G522" s="181"/>
      <c r="H522" s="43" t="s">
        <v>81</v>
      </c>
      <c r="I522" s="281">
        <f>I523+I524+I525+I526+I527</f>
        <v>22330</v>
      </c>
      <c r="J522" s="281">
        <f t="shared" ref="J522:M522" si="88">J523+J524+J525+J526+J527</f>
        <v>76415</v>
      </c>
      <c r="K522" s="281">
        <f t="shared" si="88"/>
        <v>98745</v>
      </c>
      <c r="L522" s="281">
        <f t="shared" si="88"/>
        <v>0</v>
      </c>
      <c r="M522" s="281">
        <f t="shared" si="88"/>
        <v>0</v>
      </c>
      <c r="N522" s="410"/>
      <c r="O522" s="196"/>
    </row>
    <row r="523" spans="1:18" ht="28.5" customHeight="1" x14ac:dyDescent="0.25">
      <c r="A523" s="172"/>
      <c r="B523" s="172">
        <v>31</v>
      </c>
      <c r="C523" s="174"/>
      <c r="D523" s="174"/>
      <c r="E523" s="171"/>
      <c r="F523" s="38"/>
      <c r="G523" s="181" t="s">
        <v>448</v>
      </c>
      <c r="H523" s="43" t="s">
        <v>13</v>
      </c>
      <c r="I523" s="281">
        <f>11720+3990</f>
        <v>15710</v>
      </c>
      <c r="J523" s="281">
        <f>K523-I523</f>
        <v>36000</v>
      </c>
      <c r="K523" s="281">
        <f>47720+3990</f>
        <v>51710</v>
      </c>
      <c r="L523" s="34"/>
      <c r="M523" s="34"/>
      <c r="N523" s="410"/>
      <c r="O523" s="196"/>
    </row>
    <row r="524" spans="1:18" ht="28.5" customHeight="1" x14ac:dyDescent="0.25">
      <c r="A524" s="174"/>
      <c r="B524" s="174"/>
      <c r="C524" s="174"/>
      <c r="D524" s="174"/>
      <c r="E524" s="171"/>
      <c r="F524" s="38"/>
      <c r="G524" s="181" t="s">
        <v>502</v>
      </c>
      <c r="H524" s="43" t="s">
        <v>13</v>
      </c>
      <c r="I524" s="281">
        <v>1770</v>
      </c>
      <c r="J524" s="281">
        <v>0</v>
      </c>
      <c r="K524" s="281">
        <v>1770</v>
      </c>
      <c r="L524" s="34"/>
      <c r="M524" s="34"/>
      <c r="N524" s="410"/>
      <c r="O524" s="196"/>
    </row>
    <row r="525" spans="1:18" ht="28.5" customHeight="1" x14ac:dyDescent="0.25">
      <c r="A525" s="174"/>
      <c r="B525" s="172">
        <v>32</v>
      </c>
      <c r="C525" s="174"/>
      <c r="D525" s="174"/>
      <c r="E525" s="171"/>
      <c r="F525" s="38"/>
      <c r="G525" s="181" t="s">
        <v>448</v>
      </c>
      <c r="H525" s="216" t="s">
        <v>22</v>
      </c>
      <c r="I525" s="281">
        <v>1930</v>
      </c>
      <c r="J525" s="281">
        <v>40415</v>
      </c>
      <c r="K525" s="281">
        <v>42345</v>
      </c>
      <c r="L525" s="34"/>
      <c r="M525" s="34"/>
      <c r="N525" s="410"/>
      <c r="O525" s="196"/>
    </row>
    <row r="526" spans="1:18" ht="28.5" customHeight="1" x14ac:dyDescent="0.25">
      <c r="A526" s="174"/>
      <c r="B526" s="174"/>
      <c r="C526" s="174"/>
      <c r="D526" s="174"/>
      <c r="E526" s="171"/>
      <c r="F526" s="38"/>
      <c r="G526" s="181" t="s">
        <v>502</v>
      </c>
      <c r="H526" s="216" t="s">
        <v>22</v>
      </c>
      <c r="I526" s="281">
        <v>260</v>
      </c>
      <c r="J526" s="281">
        <v>0</v>
      </c>
      <c r="K526" s="281">
        <v>260</v>
      </c>
      <c r="L526" s="34"/>
      <c r="M526" s="34"/>
      <c r="N526" s="410"/>
      <c r="O526" s="196"/>
    </row>
    <row r="527" spans="1:18" ht="28.5" customHeight="1" x14ac:dyDescent="0.25">
      <c r="A527" s="174"/>
      <c r="B527" s="172">
        <v>36</v>
      </c>
      <c r="C527" s="172"/>
      <c r="D527" s="229"/>
      <c r="E527" s="260"/>
      <c r="F527" s="260"/>
      <c r="G527" s="181" t="s">
        <v>448</v>
      </c>
      <c r="H527" s="43" t="s">
        <v>486</v>
      </c>
      <c r="I527" s="281">
        <v>2660</v>
      </c>
      <c r="J527" s="281">
        <f>K527-I527</f>
        <v>0</v>
      </c>
      <c r="K527" s="281">
        <v>2660</v>
      </c>
      <c r="L527" s="34"/>
      <c r="M527" s="34"/>
      <c r="N527" s="429"/>
      <c r="O527" s="196"/>
      <c r="P527" s="430"/>
    </row>
    <row r="528" spans="1:18" ht="28.5" customHeight="1" x14ac:dyDescent="0.25">
      <c r="A528" s="312"/>
      <c r="B528" s="312"/>
      <c r="C528" s="312"/>
      <c r="D528" s="312"/>
      <c r="E528" s="312"/>
      <c r="F528" s="312"/>
      <c r="G528" s="312"/>
      <c r="H528" s="315" t="s">
        <v>288</v>
      </c>
      <c r="I528" s="414"/>
      <c r="J528" s="414"/>
      <c r="K528" s="414"/>
      <c r="L528" s="34"/>
      <c r="M528" s="34"/>
      <c r="N528" s="410"/>
      <c r="O528" s="196"/>
    </row>
    <row r="529" spans="1:18" ht="28.5" customHeight="1" x14ac:dyDescent="0.25">
      <c r="A529" s="172">
        <v>4</v>
      </c>
      <c r="B529" s="42"/>
      <c r="C529" s="42"/>
      <c r="D529" s="42"/>
      <c r="E529" s="42"/>
      <c r="F529" s="42"/>
      <c r="G529" s="181" t="s">
        <v>448</v>
      </c>
      <c r="H529" s="43" t="s">
        <v>324</v>
      </c>
      <c r="I529" s="281">
        <f>I530</f>
        <v>0</v>
      </c>
      <c r="J529" s="281">
        <f t="shared" ref="J529:K529" si="89">J530</f>
        <v>1550</v>
      </c>
      <c r="K529" s="281">
        <f t="shared" si="89"/>
        <v>1550</v>
      </c>
      <c r="L529" s="34"/>
      <c r="M529" s="34"/>
      <c r="N529" s="410"/>
      <c r="O529" s="196"/>
    </row>
    <row r="530" spans="1:18" ht="28.5" customHeight="1" x14ac:dyDescent="0.25">
      <c r="A530" s="42"/>
      <c r="B530" s="172">
        <v>42</v>
      </c>
      <c r="C530" s="42"/>
      <c r="D530" s="42"/>
      <c r="E530" s="42"/>
      <c r="F530" s="42"/>
      <c r="G530" s="181" t="s">
        <v>448</v>
      </c>
      <c r="H530" s="43" t="s">
        <v>63</v>
      </c>
      <c r="I530" s="281">
        <v>0</v>
      </c>
      <c r="J530" s="281">
        <f>K530-I530</f>
        <v>1550</v>
      </c>
      <c r="K530" s="281">
        <v>1550</v>
      </c>
      <c r="L530" s="34"/>
      <c r="M530" s="34"/>
      <c r="N530" s="410"/>
      <c r="O530" s="196"/>
    </row>
    <row r="531" spans="1:18" ht="30" customHeight="1" x14ac:dyDescent="0.25">
      <c r="A531" s="253"/>
      <c r="B531" s="253"/>
      <c r="C531" s="253"/>
      <c r="D531" s="253"/>
      <c r="E531" s="253"/>
      <c r="F531" s="254"/>
      <c r="G531" s="439"/>
      <c r="H531" s="440" t="s">
        <v>534</v>
      </c>
      <c r="I531" s="438"/>
      <c r="J531" s="438"/>
      <c r="K531" s="438"/>
      <c r="L531" s="22"/>
      <c r="M531" s="22"/>
      <c r="N531" s="410"/>
      <c r="O531" s="196"/>
    </row>
    <row r="532" spans="1:18" ht="20.100000000000001" customHeight="1" x14ac:dyDescent="0.25">
      <c r="A532" s="348"/>
      <c r="B532" s="348"/>
      <c r="C532" s="348"/>
      <c r="D532" s="348"/>
      <c r="E532" s="348"/>
      <c r="F532" s="352"/>
      <c r="G532" s="350"/>
      <c r="H532" s="354" t="s">
        <v>289</v>
      </c>
      <c r="I532" s="316"/>
      <c r="J532" s="316"/>
      <c r="K532" s="316"/>
      <c r="L532" s="31"/>
      <c r="M532" s="31"/>
      <c r="N532" s="410"/>
      <c r="O532" s="196"/>
    </row>
    <row r="533" spans="1:18" s="21" customFormat="1" ht="20.100000000000001" customHeight="1" x14ac:dyDescent="0.25">
      <c r="A533" s="172">
        <v>4</v>
      </c>
      <c r="B533" s="172"/>
      <c r="C533" s="172"/>
      <c r="D533" s="172"/>
      <c r="E533" s="172"/>
      <c r="F533" s="42"/>
      <c r="G533" s="211"/>
      <c r="H533" s="43" t="s">
        <v>324</v>
      </c>
      <c r="I533" s="281">
        <f t="shared" ref="I533:K533" si="90">I534+I539+I568</f>
        <v>182100</v>
      </c>
      <c r="J533" s="281">
        <f t="shared" si="90"/>
        <v>336500</v>
      </c>
      <c r="K533" s="281">
        <f t="shared" si="90"/>
        <v>518600</v>
      </c>
      <c r="L533" s="45">
        <f t="shared" ref="L533:M533" si="91">L534+L539</f>
        <v>70900</v>
      </c>
      <c r="M533" s="45">
        <f t="shared" si="91"/>
        <v>85900</v>
      </c>
      <c r="N533" s="457"/>
      <c r="O533" s="458"/>
      <c r="P533" s="458"/>
      <c r="Q533" s="458"/>
      <c r="R533" s="458"/>
    </row>
    <row r="534" spans="1:18" s="21" customFormat="1" ht="30" customHeight="1" x14ac:dyDescent="0.25">
      <c r="A534" s="172"/>
      <c r="B534" s="172">
        <v>41</v>
      </c>
      <c r="C534" s="172"/>
      <c r="D534" s="172"/>
      <c r="E534" s="172"/>
      <c r="F534" s="42"/>
      <c r="G534" s="181" t="s">
        <v>466</v>
      </c>
      <c r="H534" s="43" t="s">
        <v>60</v>
      </c>
      <c r="I534" s="281">
        <f t="shared" ref="I534:M537" si="92">I535</f>
        <v>2000</v>
      </c>
      <c r="J534" s="281">
        <f t="shared" si="92"/>
        <v>0</v>
      </c>
      <c r="K534" s="281">
        <f t="shared" si="92"/>
        <v>2000</v>
      </c>
      <c r="L534" s="45">
        <f t="shared" si="92"/>
        <v>5900</v>
      </c>
      <c r="M534" s="45">
        <f t="shared" si="92"/>
        <v>5900</v>
      </c>
      <c r="N534" s="410"/>
      <c r="O534" s="196"/>
      <c r="P534" s="195"/>
      <c r="Q534" s="20"/>
      <c r="R534" s="29"/>
    </row>
    <row r="535" spans="1:18" s="150" customFormat="1" ht="20.100000000000001" hidden="1" customHeight="1" x14ac:dyDescent="0.25">
      <c r="A535" s="176"/>
      <c r="B535" s="176"/>
      <c r="C535" s="172">
        <v>412</v>
      </c>
      <c r="D535" s="172"/>
      <c r="E535" s="172"/>
      <c r="F535" s="42"/>
      <c r="G535" s="181" t="s">
        <v>466</v>
      </c>
      <c r="H535" s="43" t="s">
        <v>325</v>
      </c>
      <c r="I535" s="281">
        <f t="shared" si="92"/>
        <v>2000</v>
      </c>
      <c r="J535" s="281">
        <f t="shared" si="92"/>
        <v>0</v>
      </c>
      <c r="K535" s="281">
        <f t="shared" si="92"/>
        <v>2000</v>
      </c>
      <c r="L535" s="148">
        <f t="shared" si="92"/>
        <v>5900</v>
      </c>
      <c r="M535" s="148">
        <f t="shared" si="92"/>
        <v>5900</v>
      </c>
      <c r="N535" s="410"/>
      <c r="O535" s="196"/>
      <c r="P535" s="270"/>
      <c r="Q535" s="149"/>
      <c r="R535" s="149"/>
    </row>
    <row r="536" spans="1:18" ht="20.100000000000001" hidden="1" customHeight="1" x14ac:dyDescent="0.25">
      <c r="A536" s="174"/>
      <c r="B536" s="174"/>
      <c r="C536" s="174"/>
      <c r="D536" s="174">
        <v>4123</v>
      </c>
      <c r="E536" s="174"/>
      <c r="F536" s="44"/>
      <c r="G536" s="211" t="s">
        <v>466</v>
      </c>
      <c r="H536" s="38" t="s">
        <v>62</v>
      </c>
      <c r="I536" s="282">
        <f t="shared" si="92"/>
        <v>2000</v>
      </c>
      <c r="J536" s="282">
        <f t="shared" si="92"/>
        <v>0</v>
      </c>
      <c r="K536" s="282">
        <f t="shared" si="92"/>
        <v>2000</v>
      </c>
      <c r="L536" s="34">
        <f t="shared" si="92"/>
        <v>5900</v>
      </c>
      <c r="M536" s="34">
        <f t="shared" si="92"/>
        <v>5900</v>
      </c>
      <c r="N536" s="410"/>
      <c r="O536" s="196"/>
    </row>
    <row r="537" spans="1:18" ht="19.5" hidden="1" customHeight="1" x14ac:dyDescent="0.25">
      <c r="A537" s="174"/>
      <c r="B537" s="174"/>
      <c r="C537" s="174"/>
      <c r="D537" s="174"/>
      <c r="E537" s="171" t="s">
        <v>326</v>
      </c>
      <c r="F537" s="38"/>
      <c r="G537" s="211" t="s">
        <v>466</v>
      </c>
      <c r="H537" s="38" t="s">
        <v>62</v>
      </c>
      <c r="I537" s="282">
        <f>I538</f>
        <v>2000</v>
      </c>
      <c r="J537" s="282">
        <f>J538</f>
        <v>0</v>
      </c>
      <c r="K537" s="282">
        <f>K538</f>
        <v>2000</v>
      </c>
      <c r="L537" s="34">
        <f t="shared" si="92"/>
        <v>5900</v>
      </c>
      <c r="M537" s="34">
        <f t="shared" si="92"/>
        <v>5900</v>
      </c>
      <c r="N537" s="410"/>
      <c r="O537" s="196"/>
    </row>
    <row r="538" spans="1:18" ht="20.100000000000001" hidden="1" customHeight="1" x14ac:dyDescent="0.25">
      <c r="A538" s="174"/>
      <c r="B538" s="174"/>
      <c r="C538" s="174"/>
      <c r="D538" s="174"/>
      <c r="E538" s="171"/>
      <c r="F538" s="38" t="s">
        <v>327</v>
      </c>
      <c r="G538" s="211" t="s">
        <v>466</v>
      </c>
      <c r="H538" s="38" t="s">
        <v>62</v>
      </c>
      <c r="I538" s="282">
        <v>2000</v>
      </c>
      <c r="J538" s="282">
        <f>K538-I538</f>
        <v>0</v>
      </c>
      <c r="K538" s="282">
        <v>2000</v>
      </c>
      <c r="L538" s="34">
        <v>5900</v>
      </c>
      <c r="M538" s="34">
        <v>5900</v>
      </c>
      <c r="N538" s="410"/>
      <c r="O538" s="196"/>
    </row>
    <row r="539" spans="1:18" ht="29.25" customHeight="1" x14ac:dyDescent="0.25">
      <c r="A539" s="213"/>
      <c r="B539" s="172">
        <v>42</v>
      </c>
      <c r="C539" s="213"/>
      <c r="D539" s="213"/>
      <c r="E539" s="213"/>
      <c r="F539" s="214"/>
      <c r="G539" s="181" t="s">
        <v>466</v>
      </c>
      <c r="H539" s="43" t="s">
        <v>63</v>
      </c>
      <c r="I539" s="281">
        <f>I540+I560+I564-I530</f>
        <v>180100</v>
      </c>
      <c r="J539" s="281">
        <f>J540+J560+J564-J530</f>
        <v>281500</v>
      </c>
      <c r="K539" s="281">
        <f>K540+K560+K564-K530</f>
        <v>461600</v>
      </c>
      <c r="L539" s="45">
        <f>L540+L560+L564</f>
        <v>65000</v>
      </c>
      <c r="M539" s="45">
        <f>M540+M560+M564</f>
        <v>80000</v>
      </c>
      <c r="N539" s="410"/>
      <c r="O539" s="196"/>
      <c r="P539" s="68"/>
      <c r="R539" s="35"/>
    </row>
    <row r="540" spans="1:18" s="150" customFormat="1" ht="20.100000000000001" hidden="1" customHeight="1" x14ac:dyDescent="0.25">
      <c r="A540" s="176"/>
      <c r="B540" s="176"/>
      <c r="C540" s="172">
        <v>422</v>
      </c>
      <c r="D540" s="172"/>
      <c r="E540" s="172"/>
      <c r="F540" s="42"/>
      <c r="G540" s="181" t="s">
        <v>466</v>
      </c>
      <c r="H540" s="43" t="s">
        <v>64</v>
      </c>
      <c r="I540" s="281">
        <f>I541+I553+I550</f>
        <v>175100</v>
      </c>
      <c r="J540" s="281">
        <f>J541+J553+J550</f>
        <v>283050</v>
      </c>
      <c r="K540" s="281">
        <f>K541+K553+K550</f>
        <v>458150</v>
      </c>
      <c r="L540" s="151">
        <f>L541+L553</f>
        <v>60000</v>
      </c>
      <c r="M540" s="151">
        <f>M541+M553</f>
        <v>75000</v>
      </c>
      <c r="N540" s="410"/>
      <c r="O540" s="196"/>
      <c r="P540" s="270"/>
      <c r="Q540" s="149"/>
      <c r="R540" s="149"/>
    </row>
    <row r="541" spans="1:18" s="50" customFormat="1" ht="20.100000000000001" hidden="1" customHeight="1" x14ac:dyDescent="0.25">
      <c r="A541" s="174"/>
      <c r="B541" s="174"/>
      <c r="C541" s="174"/>
      <c r="D541" s="174">
        <v>4221</v>
      </c>
      <c r="E541" s="174"/>
      <c r="F541" s="44"/>
      <c r="G541" s="181" t="s">
        <v>466</v>
      </c>
      <c r="H541" s="38" t="s">
        <v>65</v>
      </c>
      <c r="I541" s="282">
        <f>I542+I545+I547</f>
        <v>7200</v>
      </c>
      <c r="J541" s="282">
        <f t="shared" ref="J541" si="93">J542+J545+J547</f>
        <v>1550</v>
      </c>
      <c r="K541" s="282">
        <f>K542+K545+K547</f>
        <v>8749.9999999999982</v>
      </c>
      <c r="L541" s="34">
        <f>L542+L545</f>
        <v>10000</v>
      </c>
      <c r="M541" s="34">
        <f>M542+M545</f>
        <v>10000</v>
      </c>
      <c r="N541" s="410"/>
      <c r="O541" s="196"/>
      <c r="P541" s="411"/>
      <c r="Q541" s="268"/>
      <c r="R541" s="268"/>
    </row>
    <row r="542" spans="1:18" ht="20.100000000000001" hidden="1" customHeight="1" x14ac:dyDescent="0.25">
      <c r="A542" s="174"/>
      <c r="B542" s="174"/>
      <c r="C542" s="174"/>
      <c r="D542" s="174"/>
      <c r="E542" s="171" t="s">
        <v>328</v>
      </c>
      <c r="F542" s="38"/>
      <c r="G542" s="181" t="s">
        <v>466</v>
      </c>
      <c r="H542" s="38" t="s">
        <v>329</v>
      </c>
      <c r="I542" s="282">
        <f>I543+I544</f>
        <v>4500</v>
      </c>
      <c r="J542" s="282">
        <f t="shared" ref="J542:K542" si="94">J543+J544</f>
        <v>1278.6199999999999</v>
      </c>
      <c r="K542" s="282">
        <f t="shared" si="94"/>
        <v>5778.62</v>
      </c>
      <c r="L542" s="34">
        <f>L543</f>
        <v>8500</v>
      </c>
      <c r="M542" s="34">
        <f>M543</f>
        <v>8500</v>
      </c>
      <c r="N542" s="410"/>
      <c r="O542" s="196"/>
    </row>
    <row r="543" spans="1:18" ht="20.100000000000001" hidden="1" customHeight="1" x14ac:dyDescent="0.25">
      <c r="A543" s="174"/>
      <c r="B543" s="174"/>
      <c r="C543" s="174"/>
      <c r="D543" s="174"/>
      <c r="E543" s="171"/>
      <c r="F543" s="38" t="s">
        <v>330</v>
      </c>
      <c r="G543" s="181" t="s">
        <v>466</v>
      </c>
      <c r="H543" s="38" t="s">
        <v>329</v>
      </c>
      <c r="I543" s="282">
        <v>4500</v>
      </c>
      <c r="J543" s="282">
        <f>K543-I543</f>
        <v>0</v>
      </c>
      <c r="K543" s="282">
        <v>4500</v>
      </c>
      <c r="L543" s="34">
        <v>8500</v>
      </c>
      <c r="M543" s="34">
        <v>8500</v>
      </c>
      <c r="N543" s="410"/>
      <c r="O543" s="196"/>
    </row>
    <row r="544" spans="1:18" ht="20.100000000000001" hidden="1" customHeight="1" x14ac:dyDescent="0.25">
      <c r="A544" s="174"/>
      <c r="B544" s="174"/>
      <c r="C544" s="174"/>
      <c r="D544" s="174"/>
      <c r="E544" s="171"/>
      <c r="F544" s="38" t="s">
        <v>330</v>
      </c>
      <c r="G544" s="181" t="s">
        <v>448</v>
      </c>
      <c r="H544" s="394" t="s">
        <v>545</v>
      </c>
      <c r="I544" s="395">
        <v>0</v>
      </c>
      <c r="J544" s="395">
        <f>K544-I544</f>
        <v>1278.6199999999999</v>
      </c>
      <c r="K544" s="395">
        <v>1278.6199999999999</v>
      </c>
      <c r="L544" s="34"/>
      <c r="M544" s="34"/>
      <c r="N544" s="410"/>
      <c r="O544" s="196"/>
    </row>
    <row r="545" spans="1:18" ht="20.100000000000001" hidden="1" customHeight="1" x14ac:dyDescent="0.25">
      <c r="A545" s="174"/>
      <c r="B545" s="174"/>
      <c r="C545" s="174"/>
      <c r="D545" s="174"/>
      <c r="E545" s="171" t="s">
        <v>331</v>
      </c>
      <c r="F545" s="38"/>
      <c r="G545" s="181" t="s">
        <v>466</v>
      </c>
      <c r="H545" s="38" t="s">
        <v>332</v>
      </c>
      <c r="I545" s="282">
        <f>I546</f>
        <v>2700</v>
      </c>
      <c r="J545" s="282">
        <f>J546</f>
        <v>0</v>
      </c>
      <c r="K545" s="282">
        <f>K546</f>
        <v>2700</v>
      </c>
      <c r="L545" s="34">
        <f>L546</f>
        <v>1500</v>
      </c>
      <c r="M545" s="34">
        <f>M546</f>
        <v>1500</v>
      </c>
      <c r="N545" s="410"/>
      <c r="O545" s="196"/>
    </row>
    <row r="546" spans="1:18" ht="20.100000000000001" hidden="1" customHeight="1" x14ac:dyDescent="0.25">
      <c r="A546" s="174"/>
      <c r="B546" s="174"/>
      <c r="C546" s="174"/>
      <c r="D546" s="174"/>
      <c r="E546" s="171"/>
      <c r="F546" s="38" t="s">
        <v>333</v>
      </c>
      <c r="G546" s="181" t="s">
        <v>466</v>
      </c>
      <c r="H546" s="38" t="s">
        <v>332</v>
      </c>
      <c r="I546" s="282">
        <v>2700</v>
      </c>
      <c r="J546" s="282">
        <f>K546-I546</f>
        <v>0</v>
      </c>
      <c r="K546" s="282">
        <v>2700</v>
      </c>
      <c r="L546" s="34">
        <v>1500</v>
      </c>
      <c r="M546" s="34">
        <v>1500</v>
      </c>
      <c r="N546" s="410"/>
      <c r="O546" s="196"/>
    </row>
    <row r="547" spans="1:18" ht="20.100000000000001" hidden="1" customHeight="1" x14ac:dyDescent="0.25">
      <c r="A547" s="174"/>
      <c r="B547" s="174"/>
      <c r="C547" s="174"/>
      <c r="D547" s="174"/>
      <c r="E547" s="171" t="s">
        <v>482</v>
      </c>
      <c r="F547" s="38"/>
      <c r="G547" s="181" t="s">
        <v>466</v>
      </c>
      <c r="H547" s="38" t="s">
        <v>479</v>
      </c>
      <c r="I547" s="282">
        <f>I548+I549</f>
        <v>0</v>
      </c>
      <c r="J547" s="282">
        <f t="shared" ref="J547:K547" si="95">J548+J549</f>
        <v>271.38</v>
      </c>
      <c r="K547" s="282">
        <f t="shared" si="95"/>
        <v>271.38</v>
      </c>
      <c r="L547" s="34"/>
      <c r="M547" s="34"/>
      <c r="N547" s="410"/>
      <c r="O547" s="196"/>
    </row>
    <row r="548" spans="1:18" ht="20.100000000000001" hidden="1" customHeight="1" x14ac:dyDescent="0.25">
      <c r="A548" s="174"/>
      <c r="B548" s="174"/>
      <c r="C548" s="174"/>
      <c r="D548" s="174"/>
      <c r="E548" s="171"/>
      <c r="F548" s="38" t="s">
        <v>483</v>
      </c>
      <c r="G548" s="181" t="s">
        <v>466</v>
      </c>
      <c r="H548" s="38" t="s">
        <v>479</v>
      </c>
      <c r="I548" s="282">
        <v>0</v>
      </c>
      <c r="J548" s="282">
        <f>K548-I548</f>
        <v>0</v>
      </c>
      <c r="K548" s="282">
        <v>0</v>
      </c>
      <c r="L548" s="34"/>
      <c r="M548" s="34"/>
      <c r="N548" s="410"/>
      <c r="O548" s="196"/>
    </row>
    <row r="549" spans="1:18" ht="20.100000000000001" hidden="1" customHeight="1" x14ac:dyDescent="0.25">
      <c r="A549" s="174"/>
      <c r="B549" s="174"/>
      <c r="C549" s="174"/>
      <c r="D549" s="174"/>
      <c r="E549" s="171"/>
      <c r="F549" s="38" t="s">
        <v>483</v>
      </c>
      <c r="G549" s="181" t="s">
        <v>448</v>
      </c>
      <c r="H549" s="394" t="s">
        <v>546</v>
      </c>
      <c r="I549" s="395">
        <v>0</v>
      </c>
      <c r="J549" s="395">
        <f>K549-I549</f>
        <v>271.38</v>
      </c>
      <c r="K549" s="395">
        <v>271.38</v>
      </c>
      <c r="L549" s="34"/>
      <c r="M549" s="34"/>
      <c r="N549" s="410"/>
      <c r="O549" s="196"/>
    </row>
    <row r="550" spans="1:18" ht="20.100000000000001" hidden="1" customHeight="1" x14ac:dyDescent="0.2">
      <c r="A550" s="174"/>
      <c r="B550" s="174"/>
      <c r="C550" s="174"/>
      <c r="D550" s="85">
        <v>4223</v>
      </c>
      <c r="E550" s="85"/>
      <c r="F550" s="85"/>
      <c r="G550" s="181" t="s">
        <v>466</v>
      </c>
      <c r="H550" s="144" t="s">
        <v>446</v>
      </c>
      <c r="I550" s="282">
        <f t="shared" ref="I550:M551" si="96">I551</f>
        <v>2700</v>
      </c>
      <c r="J550" s="282">
        <f t="shared" si="96"/>
        <v>0</v>
      </c>
      <c r="K550" s="282">
        <f t="shared" si="96"/>
        <v>2700</v>
      </c>
      <c r="L550" s="143">
        <f t="shared" si="96"/>
        <v>0</v>
      </c>
      <c r="M550" s="143">
        <f t="shared" si="96"/>
        <v>0</v>
      </c>
      <c r="N550" s="410"/>
      <c r="O550" s="196"/>
    </row>
    <row r="551" spans="1:18" ht="20.100000000000001" hidden="1" customHeight="1" x14ac:dyDescent="0.2">
      <c r="A551" s="174"/>
      <c r="B551" s="174"/>
      <c r="C551" s="174"/>
      <c r="D551" s="85"/>
      <c r="E551" s="85">
        <v>42231</v>
      </c>
      <c r="F551" s="85"/>
      <c r="G551" s="181" t="s">
        <v>466</v>
      </c>
      <c r="H551" s="144" t="s">
        <v>447</v>
      </c>
      <c r="I551" s="282">
        <f t="shared" si="96"/>
        <v>2700</v>
      </c>
      <c r="J551" s="282">
        <f t="shared" si="96"/>
        <v>0</v>
      </c>
      <c r="K551" s="282">
        <f t="shared" si="96"/>
        <v>2700</v>
      </c>
      <c r="L551" s="34"/>
      <c r="M551" s="34"/>
      <c r="N551" s="410"/>
      <c r="O551" s="196"/>
    </row>
    <row r="552" spans="1:18" ht="20.100000000000001" hidden="1" customHeight="1" x14ac:dyDescent="0.2">
      <c r="A552" s="174"/>
      <c r="B552" s="174"/>
      <c r="C552" s="174"/>
      <c r="D552" s="85"/>
      <c r="E552" s="85"/>
      <c r="F552" s="371">
        <v>422310</v>
      </c>
      <c r="G552" s="181" t="s">
        <v>466</v>
      </c>
      <c r="H552" s="144" t="s">
        <v>447</v>
      </c>
      <c r="I552" s="282">
        <v>2700</v>
      </c>
      <c r="J552" s="282">
        <f>K552-I552</f>
        <v>0</v>
      </c>
      <c r="K552" s="282">
        <v>2700</v>
      </c>
      <c r="L552" s="34"/>
      <c r="M552" s="34"/>
      <c r="N552" s="410"/>
      <c r="O552" s="196"/>
    </row>
    <row r="553" spans="1:18" ht="20.100000000000001" hidden="1" customHeight="1" x14ac:dyDescent="0.25">
      <c r="A553" s="174"/>
      <c r="B553" s="174"/>
      <c r="C553" s="174"/>
      <c r="D553" s="174">
        <v>4224</v>
      </c>
      <c r="E553" s="174"/>
      <c r="F553" s="44"/>
      <c r="G553" s="181" t="s">
        <v>466</v>
      </c>
      <c r="H553" s="38" t="s">
        <v>66</v>
      </c>
      <c r="I553" s="282">
        <f>I554+I556</f>
        <v>165200</v>
      </c>
      <c r="J553" s="282">
        <f>J554+J556</f>
        <v>281500</v>
      </c>
      <c r="K553" s="282">
        <f>K554+K556</f>
        <v>446700</v>
      </c>
      <c r="L553" s="34">
        <f>L554+L556</f>
        <v>50000</v>
      </c>
      <c r="M553" s="34">
        <f>M554+M556</f>
        <v>65000</v>
      </c>
      <c r="N553" s="410"/>
      <c r="O553" s="196"/>
    </row>
    <row r="554" spans="1:18" ht="20.100000000000001" hidden="1" customHeight="1" x14ac:dyDescent="0.25">
      <c r="A554" s="174"/>
      <c r="B554" s="174"/>
      <c r="C554" s="174"/>
      <c r="D554" s="174"/>
      <c r="E554" s="171" t="s">
        <v>334</v>
      </c>
      <c r="F554" s="38"/>
      <c r="G554" s="181" t="s">
        <v>466</v>
      </c>
      <c r="H554" s="38" t="s">
        <v>335</v>
      </c>
      <c r="I554" s="282">
        <f>I555</f>
        <v>2000</v>
      </c>
      <c r="J554" s="282">
        <f>J555</f>
        <v>13000</v>
      </c>
      <c r="K554" s="282">
        <f>K555</f>
        <v>15000</v>
      </c>
      <c r="L554" s="34">
        <f>L555</f>
        <v>10000</v>
      </c>
      <c r="M554" s="34">
        <f>M555</f>
        <v>25000</v>
      </c>
      <c r="N554" s="410"/>
      <c r="O554" s="196"/>
    </row>
    <row r="555" spans="1:18" s="50" customFormat="1" ht="20.100000000000001" hidden="1" customHeight="1" x14ac:dyDescent="0.25">
      <c r="A555" s="174"/>
      <c r="B555" s="174"/>
      <c r="C555" s="174"/>
      <c r="D555" s="174"/>
      <c r="E555" s="171"/>
      <c r="F555" s="38" t="s">
        <v>336</v>
      </c>
      <c r="G555" s="181" t="s">
        <v>466</v>
      </c>
      <c r="H555" s="38" t="s">
        <v>335</v>
      </c>
      <c r="I555" s="282">
        <v>2000</v>
      </c>
      <c r="J555" s="282">
        <f>K555-I555</f>
        <v>13000</v>
      </c>
      <c r="K555" s="282">
        <f>2000+13000</f>
        <v>15000</v>
      </c>
      <c r="L555" s="49">
        <v>10000</v>
      </c>
      <c r="M555" s="49">
        <v>25000</v>
      </c>
      <c r="N555" s="410"/>
      <c r="O555" s="196"/>
      <c r="P555" s="275"/>
    </row>
    <row r="556" spans="1:18" s="50" customFormat="1" ht="20.100000000000001" hidden="1" customHeight="1" x14ac:dyDescent="0.25">
      <c r="A556" s="174"/>
      <c r="B556" s="174"/>
      <c r="C556" s="174"/>
      <c r="D556" s="174"/>
      <c r="E556" s="171" t="s">
        <v>337</v>
      </c>
      <c r="F556" s="38"/>
      <c r="G556" s="181" t="s">
        <v>466</v>
      </c>
      <c r="H556" s="38" t="s">
        <v>338</v>
      </c>
      <c r="I556" s="282">
        <f>I557</f>
        <v>163200</v>
      </c>
      <c r="J556" s="282">
        <f>J557</f>
        <v>268500</v>
      </c>
      <c r="K556" s="282">
        <f>K557</f>
        <v>431700</v>
      </c>
      <c r="L556" s="49">
        <v>40000</v>
      </c>
      <c r="M556" s="49">
        <v>40000</v>
      </c>
      <c r="N556" s="410"/>
      <c r="O556" s="196"/>
      <c r="P556" s="275"/>
    </row>
    <row r="557" spans="1:18" s="50" customFormat="1" ht="20.100000000000001" hidden="1" customHeight="1" x14ac:dyDescent="0.25">
      <c r="A557" s="174"/>
      <c r="B557" s="174"/>
      <c r="C557" s="174"/>
      <c r="D557" s="174"/>
      <c r="E557" s="171"/>
      <c r="F557" s="38" t="s">
        <v>339</v>
      </c>
      <c r="G557" s="181" t="s">
        <v>466</v>
      </c>
      <c r="H557" s="38" t="s">
        <v>338</v>
      </c>
      <c r="I557" s="282">
        <v>163200</v>
      </c>
      <c r="J557" s="282">
        <f>K557-I557</f>
        <v>268500</v>
      </c>
      <c r="K557" s="282">
        <f>163200+281500-13000</f>
        <v>431700</v>
      </c>
      <c r="L557" s="49">
        <f>180500-90500</f>
        <v>90000</v>
      </c>
      <c r="M557" s="49">
        <f>180500-90500</f>
        <v>90000</v>
      </c>
      <c r="N557" s="410"/>
      <c r="O557" s="196"/>
      <c r="P557" s="275"/>
    </row>
    <row r="558" spans="1:18" ht="20.100000000000001" hidden="1" customHeight="1" x14ac:dyDescent="0.25">
      <c r="A558" s="174"/>
      <c r="B558" s="174"/>
      <c r="C558" s="174"/>
      <c r="D558" s="174">
        <v>4225</v>
      </c>
      <c r="E558" s="171"/>
      <c r="F558" s="38"/>
      <c r="G558" s="181" t="s">
        <v>466</v>
      </c>
      <c r="H558" s="38" t="s">
        <v>340</v>
      </c>
      <c r="I558" s="282"/>
      <c r="J558" s="282"/>
      <c r="K558" s="282"/>
      <c r="L558" s="31"/>
      <c r="M558" s="31"/>
      <c r="N558" s="410"/>
      <c r="O558" s="196"/>
    </row>
    <row r="559" spans="1:18" ht="20.100000000000001" hidden="1" customHeight="1" x14ac:dyDescent="0.25">
      <c r="A559" s="174"/>
      <c r="B559" s="174"/>
      <c r="C559" s="174"/>
      <c r="D559" s="174">
        <v>4227</v>
      </c>
      <c r="E559" s="171"/>
      <c r="F559" s="38"/>
      <c r="G559" s="181" t="s">
        <v>466</v>
      </c>
      <c r="H559" s="38" t="s">
        <v>341</v>
      </c>
      <c r="I559" s="282"/>
      <c r="J559" s="282"/>
      <c r="K559" s="282"/>
      <c r="L559" s="31"/>
      <c r="M559" s="31"/>
      <c r="N559" s="410"/>
      <c r="O559" s="196"/>
    </row>
    <row r="560" spans="1:18" s="21" customFormat="1" ht="20.100000000000001" hidden="1" customHeight="1" x14ac:dyDescent="0.25">
      <c r="A560" s="172"/>
      <c r="B560" s="172"/>
      <c r="C560" s="172">
        <v>423</v>
      </c>
      <c r="D560" s="172"/>
      <c r="E560" s="172"/>
      <c r="F560" s="42"/>
      <c r="G560" s="181" t="s">
        <v>466</v>
      </c>
      <c r="H560" s="43" t="s">
        <v>342</v>
      </c>
      <c r="I560" s="281">
        <f t="shared" ref="I560:M562" si="97">I561</f>
        <v>0</v>
      </c>
      <c r="J560" s="281">
        <f t="shared" si="97"/>
        <v>0</v>
      </c>
      <c r="K560" s="281">
        <f t="shared" si="97"/>
        <v>0</v>
      </c>
      <c r="L560" s="31">
        <f t="shared" si="97"/>
        <v>0</v>
      </c>
      <c r="M560" s="31">
        <f t="shared" si="97"/>
        <v>0</v>
      </c>
      <c r="N560" s="410"/>
      <c r="O560" s="196"/>
      <c r="P560" s="270"/>
      <c r="Q560" s="20"/>
      <c r="R560" s="20"/>
    </row>
    <row r="561" spans="1:18" ht="20.100000000000001" hidden="1" customHeight="1" x14ac:dyDescent="0.25">
      <c r="A561" s="174"/>
      <c r="B561" s="174"/>
      <c r="C561" s="174"/>
      <c r="D561" s="174">
        <v>4231</v>
      </c>
      <c r="E561" s="174"/>
      <c r="F561" s="44"/>
      <c r="G561" s="181" t="s">
        <v>466</v>
      </c>
      <c r="H561" s="38" t="s">
        <v>70</v>
      </c>
      <c r="I561" s="282">
        <f t="shared" si="97"/>
        <v>0</v>
      </c>
      <c r="J561" s="282">
        <f t="shared" si="97"/>
        <v>0</v>
      </c>
      <c r="K561" s="282">
        <f t="shared" si="97"/>
        <v>0</v>
      </c>
      <c r="L561" s="34">
        <f t="shared" si="97"/>
        <v>0</v>
      </c>
      <c r="M561" s="34">
        <f t="shared" si="97"/>
        <v>0</v>
      </c>
      <c r="N561" s="410"/>
      <c r="O561" s="196"/>
    </row>
    <row r="562" spans="1:18" ht="20.100000000000001" hidden="1" customHeight="1" x14ac:dyDescent="0.25">
      <c r="A562" s="174"/>
      <c r="B562" s="174"/>
      <c r="C562" s="174"/>
      <c r="D562" s="174"/>
      <c r="E562" s="171" t="s">
        <v>343</v>
      </c>
      <c r="F562" s="38"/>
      <c r="G562" s="181" t="s">
        <v>466</v>
      </c>
      <c r="H562" s="38" t="s">
        <v>344</v>
      </c>
      <c r="I562" s="282">
        <f>I563</f>
        <v>0</v>
      </c>
      <c r="J562" s="282">
        <f>J563</f>
        <v>0</v>
      </c>
      <c r="K562" s="282">
        <f>K563</f>
        <v>0</v>
      </c>
      <c r="L562" s="34">
        <f t="shared" si="97"/>
        <v>0</v>
      </c>
      <c r="M562" s="34">
        <f t="shared" si="97"/>
        <v>0</v>
      </c>
      <c r="N562" s="410"/>
      <c r="O562" s="196"/>
    </row>
    <row r="563" spans="1:18" ht="20.100000000000001" hidden="1" customHeight="1" x14ac:dyDescent="0.25">
      <c r="A563" s="174"/>
      <c r="B563" s="174"/>
      <c r="C563" s="174"/>
      <c r="D563" s="174"/>
      <c r="E563" s="171"/>
      <c r="F563" s="38" t="s">
        <v>345</v>
      </c>
      <c r="G563" s="181" t="s">
        <v>466</v>
      </c>
      <c r="H563" s="38" t="s">
        <v>344</v>
      </c>
      <c r="I563" s="282">
        <v>0</v>
      </c>
      <c r="J563" s="282">
        <f>K563-I563</f>
        <v>0</v>
      </c>
      <c r="K563" s="282">
        <v>0</v>
      </c>
      <c r="L563" s="34">
        <v>0</v>
      </c>
      <c r="M563" s="34">
        <v>0</v>
      </c>
      <c r="N563" s="410"/>
      <c r="O563" s="196"/>
    </row>
    <row r="564" spans="1:18" s="150" customFormat="1" ht="20.100000000000001" hidden="1" customHeight="1" x14ac:dyDescent="0.25">
      <c r="A564" s="176"/>
      <c r="B564" s="176"/>
      <c r="C564" s="172">
        <v>426</v>
      </c>
      <c r="D564" s="172"/>
      <c r="E564" s="172"/>
      <c r="F564" s="42"/>
      <c r="G564" s="181" t="s">
        <v>466</v>
      </c>
      <c r="H564" s="216" t="s">
        <v>71</v>
      </c>
      <c r="I564" s="281">
        <f t="shared" ref="I564:M566" si="98">I565</f>
        <v>5000</v>
      </c>
      <c r="J564" s="281">
        <f t="shared" si="98"/>
        <v>0</v>
      </c>
      <c r="K564" s="281">
        <f t="shared" si="98"/>
        <v>5000</v>
      </c>
      <c r="L564" s="148">
        <f t="shared" si="98"/>
        <v>5000</v>
      </c>
      <c r="M564" s="148">
        <f t="shared" si="98"/>
        <v>5000</v>
      </c>
      <c r="N564" s="410"/>
      <c r="O564" s="196"/>
      <c r="P564" s="270"/>
      <c r="Q564" s="149"/>
      <c r="R564" s="149"/>
    </row>
    <row r="565" spans="1:18" ht="20.100000000000001" hidden="1" customHeight="1" x14ac:dyDescent="0.25">
      <c r="A565" s="174"/>
      <c r="B565" s="174"/>
      <c r="C565" s="174"/>
      <c r="D565" s="174">
        <v>4262</v>
      </c>
      <c r="E565" s="174"/>
      <c r="F565" s="44"/>
      <c r="G565" s="181" t="s">
        <v>466</v>
      </c>
      <c r="H565" s="41" t="s">
        <v>72</v>
      </c>
      <c r="I565" s="282">
        <f t="shared" si="98"/>
        <v>5000</v>
      </c>
      <c r="J565" s="282">
        <f t="shared" si="98"/>
        <v>0</v>
      </c>
      <c r="K565" s="282">
        <f t="shared" si="98"/>
        <v>5000</v>
      </c>
      <c r="L565" s="34">
        <f t="shared" si="98"/>
        <v>5000</v>
      </c>
      <c r="M565" s="34">
        <f t="shared" si="98"/>
        <v>5000</v>
      </c>
      <c r="N565" s="410"/>
      <c r="O565" s="196"/>
    </row>
    <row r="566" spans="1:18" ht="20.100000000000001" hidden="1" customHeight="1" x14ac:dyDescent="0.25">
      <c r="A566" s="174"/>
      <c r="B566" s="174"/>
      <c r="C566" s="174"/>
      <c r="D566" s="174"/>
      <c r="E566" s="171" t="s">
        <v>346</v>
      </c>
      <c r="F566" s="38"/>
      <c r="G566" s="181" t="s">
        <v>466</v>
      </c>
      <c r="H566" s="38" t="s">
        <v>72</v>
      </c>
      <c r="I566" s="282">
        <f t="shared" si="98"/>
        <v>5000</v>
      </c>
      <c r="J566" s="282">
        <f t="shared" si="98"/>
        <v>0</v>
      </c>
      <c r="K566" s="282">
        <f t="shared" si="98"/>
        <v>5000</v>
      </c>
      <c r="L566" s="34">
        <f t="shared" si="98"/>
        <v>5000</v>
      </c>
      <c r="M566" s="34">
        <f t="shared" si="98"/>
        <v>5000</v>
      </c>
      <c r="N566" s="410"/>
      <c r="O566" s="196"/>
    </row>
    <row r="567" spans="1:18" ht="20.100000000000001" hidden="1" customHeight="1" x14ac:dyDescent="0.25">
      <c r="A567" s="174"/>
      <c r="B567" s="174"/>
      <c r="C567" s="174"/>
      <c r="D567" s="174"/>
      <c r="E567" s="171"/>
      <c r="F567" s="38" t="s">
        <v>347</v>
      </c>
      <c r="G567" s="181" t="s">
        <v>466</v>
      </c>
      <c r="H567" s="38" t="s">
        <v>72</v>
      </c>
      <c r="I567" s="282">
        <v>5000</v>
      </c>
      <c r="J567" s="282">
        <f>K567-I567</f>
        <v>0</v>
      </c>
      <c r="K567" s="282">
        <v>5000</v>
      </c>
      <c r="L567" s="34">
        <v>5000</v>
      </c>
      <c r="M567" s="34">
        <v>5000</v>
      </c>
      <c r="N567" s="410"/>
      <c r="O567" s="196"/>
    </row>
    <row r="568" spans="1:18" ht="25.5" x14ac:dyDescent="0.2">
      <c r="A568" s="193"/>
      <c r="B568" s="77">
        <v>45</v>
      </c>
      <c r="C568" s="87"/>
      <c r="D568" s="87"/>
      <c r="E568" s="87"/>
      <c r="F568" s="87"/>
      <c r="G568" s="181" t="s">
        <v>466</v>
      </c>
      <c r="H568" s="160" t="s">
        <v>508</v>
      </c>
      <c r="I568" s="281">
        <f t="shared" ref="I568:K569" si="99">I569</f>
        <v>0</v>
      </c>
      <c r="J568" s="281">
        <f t="shared" si="99"/>
        <v>55000</v>
      </c>
      <c r="K568" s="281">
        <f t="shared" si="99"/>
        <v>55000</v>
      </c>
      <c r="L568" s="34"/>
      <c r="M568" s="34"/>
      <c r="N568" s="410"/>
      <c r="O568" s="196"/>
    </row>
    <row r="569" spans="1:18" ht="25.5" hidden="1" x14ac:dyDescent="0.2">
      <c r="A569" s="193"/>
      <c r="B569" s="78"/>
      <c r="C569" s="87">
        <v>452</v>
      </c>
      <c r="D569" s="87"/>
      <c r="E569" s="87"/>
      <c r="F569" s="87"/>
      <c r="G569" s="181" t="s">
        <v>466</v>
      </c>
      <c r="H569" s="311" t="s">
        <v>509</v>
      </c>
      <c r="I569" s="281">
        <f t="shared" si="99"/>
        <v>0</v>
      </c>
      <c r="J569" s="281">
        <f t="shared" si="99"/>
        <v>55000</v>
      </c>
      <c r="K569" s="281">
        <f t="shared" si="99"/>
        <v>55000</v>
      </c>
      <c r="L569" s="34"/>
      <c r="M569" s="34"/>
      <c r="N569" s="410"/>
      <c r="O569" s="196"/>
    </row>
    <row r="570" spans="1:18" ht="20.100000000000001" hidden="1" customHeight="1" x14ac:dyDescent="0.2">
      <c r="A570" s="193"/>
      <c r="B570" s="78"/>
      <c r="C570" s="85"/>
      <c r="D570" s="85">
        <v>4521</v>
      </c>
      <c r="E570" s="85"/>
      <c r="F570" s="85"/>
      <c r="G570" s="181" t="s">
        <v>466</v>
      </c>
      <c r="H570" s="200" t="s">
        <v>509</v>
      </c>
      <c r="I570" s="282">
        <f>I571</f>
        <v>0</v>
      </c>
      <c r="J570" s="282">
        <f>J571</f>
        <v>55000</v>
      </c>
      <c r="K570" s="282">
        <f>K571</f>
        <v>55000</v>
      </c>
      <c r="L570" s="34"/>
      <c r="M570" s="34"/>
      <c r="N570" s="410"/>
      <c r="O570" s="196"/>
    </row>
    <row r="571" spans="1:18" ht="20.100000000000001" hidden="1" customHeight="1" x14ac:dyDescent="0.2">
      <c r="A571" s="193"/>
      <c r="B571" s="78"/>
      <c r="C571" s="85"/>
      <c r="D571" s="85"/>
      <c r="E571" s="85">
        <v>45211</v>
      </c>
      <c r="F571" s="85"/>
      <c r="G571" s="181" t="s">
        <v>466</v>
      </c>
      <c r="H571" s="200" t="s">
        <v>509</v>
      </c>
      <c r="I571" s="282">
        <f t="shared" ref="I571:K571" si="100">I572</f>
        <v>0</v>
      </c>
      <c r="J571" s="282">
        <f t="shared" si="100"/>
        <v>55000</v>
      </c>
      <c r="K571" s="282">
        <f t="shared" si="100"/>
        <v>55000</v>
      </c>
      <c r="L571" s="34"/>
      <c r="M571" s="34"/>
      <c r="N571" s="410"/>
      <c r="O571" s="196"/>
    </row>
    <row r="572" spans="1:18" ht="20.100000000000001" hidden="1" customHeight="1" x14ac:dyDescent="0.2">
      <c r="A572" s="193"/>
      <c r="B572" s="186"/>
      <c r="C572" s="85"/>
      <c r="D572" s="85"/>
      <c r="E572" s="85"/>
      <c r="F572" s="85">
        <v>452110</v>
      </c>
      <c r="G572" s="181" t="s">
        <v>466</v>
      </c>
      <c r="H572" s="200" t="s">
        <v>509</v>
      </c>
      <c r="I572" s="282">
        <v>0</v>
      </c>
      <c r="J572" s="282">
        <f>K572-I572</f>
        <v>55000</v>
      </c>
      <c r="K572" s="282">
        <v>55000</v>
      </c>
      <c r="L572" s="34"/>
      <c r="M572" s="34"/>
      <c r="N572" s="410"/>
      <c r="O572" s="196"/>
    </row>
    <row r="573" spans="1:18" ht="33.75" customHeight="1" x14ac:dyDescent="0.25">
      <c r="A573" s="348"/>
      <c r="B573" s="348"/>
      <c r="C573" s="348"/>
      <c r="D573" s="348"/>
      <c r="E573" s="348"/>
      <c r="F573" s="348"/>
      <c r="G573" s="348"/>
      <c r="H573" s="354" t="s">
        <v>348</v>
      </c>
      <c r="I573" s="364"/>
      <c r="J573" s="364"/>
      <c r="K573" s="364"/>
      <c r="L573" s="52"/>
      <c r="M573" s="52"/>
      <c r="N573" s="410"/>
      <c r="O573" s="196"/>
    </row>
    <row r="574" spans="1:18" ht="28.5" customHeight="1" x14ac:dyDescent="0.25">
      <c r="A574" s="172">
        <v>4</v>
      </c>
      <c r="B574" s="172"/>
      <c r="C574" s="172"/>
      <c r="D574" s="172"/>
      <c r="E574" s="172"/>
      <c r="F574" s="42"/>
      <c r="G574" s="211"/>
      <c r="H574" s="43" t="s">
        <v>324</v>
      </c>
      <c r="I574" s="281">
        <f>I575+I580</f>
        <v>110</v>
      </c>
      <c r="J574" s="281">
        <f>J575+J580</f>
        <v>0</v>
      </c>
      <c r="K574" s="281">
        <f>K575+K580</f>
        <v>110</v>
      </c>
      <c r="L574" s="45">
        <f t="shared" ref="L574:M574" si="101">L575+L580</f>
        <v>800</v>
      </c>
      <c r="M574" s="45">
        <f t="shared" si="101"/>
        <v>800</v>
      </c>
      <c r="N574" s="410"/>
      <c r="O574" s="196"/>
    </row>
    <row r="575" spans="1:18" ht="25.5" hidden="1" x14ac:dyDescent="0.25">
      <c r="A575" s="172"/>
      <c r="B575" s="172">
        <v>41</v>
      </c>
      <c r="C575" s="172"/>
      <c r="D575" s="172"/>
      <c r="E575" s="172"/>
      <c r="F575" s="42"/>
      <c r="G575" s="211"/>
      <c r="H575" s="43" t="s">
        <v>60</v>
      </c>
      <c r="I575" s="281">
        <f t="shared" ref="I575:M577" si="102">I576</f>
        <v>0</v>
      </c>
      <c r="J575" s="281">
        <f t="shared" si="102"/>
        <v>0</v>
      </c>
      <c r="K575" s="281">
        <f t="shared" si="102"/>
        <v>0</v>
      </c>
      <c r="L575" s="45">
        <f t="shared" si="102"/>
        <v>800</v>
      </c>
      <c r="M575" s="45">
        <f t="shared" si="102"/>
        <v>800</v>
      </c>
      <c r="N575" s="410"/>
      <c r="O575" s="196"/>
    </row>
    <row r="576" spans="1:18" ht="20.100000000000001" hidden="1" customHeight="1" x14ac:dyDescent="0.25">
      <c r="A576" s="172"/>
      <c r="B576" s="172"/>
      <c r="C576" s="172">
        <v>412</v>
      </c>
      <c r="D576" s="172"/>
      <c r="E576" s="172"/>
      <c r="F576" s="42"/>
      <c r="G576" s="211"/>
      <c r="H576" s="43" t="s">
        <v>325</v>
      </c>
      <c r="I576" s="281">
        <f t="shared" si="102"/>
        <v>0</v>
      </c>
      <c r="J576" s="281">
        <f t="shared" si="102"/>
        <v>0</v>
      </c>
      <c r="K576" s="281">
        <f t="shared" si="102"/>
        <v>0</v>
      </c>
      <c r="L576" s="31">
        <f t="shared" si="102"/>
        <v>800</v>
      </c>
      <c r="M576" s="31">
        <f t="shared" si="102"/>
        <v>800</v>
      </c>
      <c r="N576" s="410"/>
      <c r="O576" s="196"/>
    </row>
    <row r="577" spans="1:18" ht="20.100000000000001" hidden="1" customHeight="1" x14ac:dyDescent="0.25">
      <c r="A577" s="174"/>
      <c r="B577" s="174"/>
      <c r="C577" s="174"/>
      <c r="D577" s="174">
        <v>4123</v>
      </c>
      <c r="E577" s="174"/>
      <c r="F577" s="44"/>
      <c r="G577" s="211" t="s">
        <v>477</v>
      </c>
      <c r="H577" s="38" t="s">
        <v>62</v>
      </c>
      <c r="I577" s="282">
        <f t="shared" si="102"/>
        <v>0</v>
      </c>
      <c r="J577" s="282">
        <f t="shared" si="102"/>
        <v>0</v>
      </c>
      <c r="K577" s="282">
        <f t="shared" si="102"/>
        <v>0</v>
      </c>
      <c r="L577" s="34">
        <f t="shared" si="102"/>
        <v>800</v>
      </c>
      <c r="M577" s="34">
        <f t="shared" si="102"/>
        <v>800</v>
      </c>
      <c r="N577" s="410"/>
      <c r="O577" s="196"/>
    </row>
    <row r="578" spans="1:18" ht="20.100000000000001" hidden="1" customHeight="1" x14ac:dyDescent="0.25">
      <c r="A578" s="174"/>
      <c r="B578" s="174"/>
      <c r="C578" s="174"/>
      <c r="D578" s="174"/>
      <c r="E578" s="171" t="s">
        <v>326</v>
      </c>
      <c r="F578" s="38"/>
      <c r="G578" s="211" t="s">
        <v>477</v>
      </c>
      <c r="H578" s="38" t="s">
        <v>62</v>
      </c>
      <c r="I578" s="282">
        <f>I579</f>
        <v>0</v>
      </c>
      <c r="J578" s="282">
        <f>J579</f>
        <v>0</v>
      </c>
      <c r="K578" s="282">
        <f>K579</f>
        <v>0</v>
      </c>
      <c r="L578" s="34">
        <f>L579</f>
        <v>800</v>
      </c>
      <c r="M578" s="34">
        <f>M579</f>
        <v>800</v>
      </c>
      <c r="N578" s="410"/>
      <c r="O578" s="196"/>
    </row>
    <row r="579" spans="1:18" ht="20.100000000000001" hidden="1" customHeight="1" x14ac:dyDescent="0.25">
      <c r="A579" s="174"/>
      <c r="B579" s="174"/>
      <c r="C579" s="174"/>
      <c r="D579" s="174"/>
      <c r="E579" s="171"/>
      <c r="F579" s="38" t="s">
        <v>327</v>
      </c>
      <c r="G579" s="211" t="s">
        <v>477</v>
      </c>
      <c r="H579" s="38" t="s">
        <v>62</v>
      </c>
      <c r="I579" s="282">
        <v>0</v>
      </c>
      <c r="J579" s="282">
        <f>K579-I579</f>
        <v>0</v>
      </c>
      <c r="K579" s="282">
        <v>0</v>
      </c>
      <c r="L579" s="34">
        <v>800</v>
      </c>
      <c r="M579" s="34">
        <v>800</v>
      </c>
      <c r="N579" s="410"/>
      <c r="O579" s="196"/>
    </row>
    <row r="580" spans="1:18" ht="27" customHeight="1" x14ac:dyDescent="0.25">
      <c r="A580" s="174"/>
      <c r="B580" s="172">
        <v>42</v>
      </c>
      <c r="C580" s="174"/>
      <c r="D580" s="174"/>
      <c r="E580" s="171"/>
      <c r="F580" s="38"/>
      <c r="G580" s="181" t="s">
        <v>477</v>
      </c>
      <c r="H580" s="43" t="s">
        <v>63</v>
      </c>
      <c r="I580" s="281">
        <f t="shared" ref="I580:K580" si="103">I581+I585</f>
        <v>110</v>
      </c>
      <c r="J580" s="281">
        <f t="shared" si="103"/>
        <v>0</v>
      </c>
      <c r="K580" s="281">
        <f t="shared" si="103"/>
        <v>110</v>
      </c>
      <c r="L580" s="31">
        <v>0</v>
      </c>
      <c r="M580" s="31">
        <v>0</v>
      </c>
      <c r="N580" s="410"/>
      <c r="O580" s="196"/>
    </row>
    <row r="581" spans="1:18" s="154" customFormat="1" ht="20.100000000000001" hidden="1" customHeight="1" x14ac:dyDescent="0.25">
      <c r="A581" s="176"/>
      <c r="B581" s="176"/>
      <c r="C581" s="172">
        <v>422</v>
      </c>
      <c r="D581" s="172"/>
      <c r="E581" s="172"/>
      <c r="F581" s="42"/>
      <c r="G581" s="181" t="s">
        <v>477</v>
      </c>
      <c r="H581" s="43" t="s">
        <v>64</v>
      </c>
      <c r="I581" s="281">
        <f t="shared" ref="I581:K583" si="104">I582</f>
        <v>110</v>
      </c>
      <c r="J581" s="281">
        <f t="shared" si="104"/>
        <v>0</v>
      </c>
      <c r="K581" s="281">
        <f t="shared" si="104"/>
        <v>110</v>
      </c>
      <c r="L581" s="148"/>
      <c r="M581" s="148"/>
      <c r="N581" s="410"/>
      <c r="O581" s="196"/>
      <c r="P581" s="411"/>
      <c r="Q581" s="153"/>
      <c r="R581" s="153"/>
    </row>
    <row r="582" spans="1:18" ht="20.100000000000001" hidden="1" customHeight="1" x14ac:dyDescent="0.25">
      <c r="A582" s="174"/>
      <c r="B582" s="174"/>
      <c r="C582" s="174"/>
      <c r="D582" s="174">
        <v>4224</v>
      </c>
      <c r="E582" s="174"/>
      <c r="F582" s="44"/>
      <c r="G582" s="181" t="s">
        <v>477</v>
      </c>
      <c r="H582" s="38" t="s">
        <v>66</v>
      </c>
      <c r="I582" s="282">
        <f t="shared" si="104"/>
        <v>110</v>
      </c>
      <c r="J582" s="282">
        <f t="shared" si="104"/>
        <v>0</v>
      </c>
      <c r="K582" s="282">
        <f t="shared" si="104"/>
        <v>110</v>
      </c>
      <c r="L582" s="31"/>
      <c r="M582" s="31"/>
      <c r="N582" s="410"/>
      <c r="O582" s="196"/>
    </row>
    <row r="583" spans="1:18" ht="20.100000000000001" hidden="1" customHeight="1" x14ac:dyDescent="0.25">
      <c r="A583" s="174"/>
      <c r="B583" s="174"/>
      <c r="C583" s="174"/>
      <c r="D583" s="174"/>
      <c r="E583" s="171" t="s">
        <v>337</v>
      </c>
      <c r="F583" s="38"/>
      <c r="G583" s="181" t="s">
        <v>477</v>
      </c>
      <c r="H583" s="38" t="s">
        <v>338</v>
      </c>
      <c r="I583" s="282">
        <f t="shared" si="104"/>
        <v>110</v>
      </c>
      <c r="J583" s="282">
        <f t="shared" si="104"/>
        <v>0</v>
      </c>
      <c r="K583" s="282">
        <f t="shared" si="104"/>
        <v>110</v>
      </c>
      <c r="L583" s="31"/>
      <c r="M583" s="31"/>
      <c r="N583" s="410"/>
      <c r="O583" s="196"/>
    </row>
    <row r="584" spans="1:18" ht="27" hidden="1" customHeight="1" x14ac:dyDescent="0.25">
      <c r="A584" s="174"/>
      <c r="B584" s="174"/>
      <c r="C584" s="174"/>
      <c r="D584" s="174"/>
      <c r="E584" s="171"/>
      <c r="F584" s="38" t="s">
        <v>339</v>
      </c>
      <c r="G584" s="181" t="s">
        <v>477</v>
      </c>
      <c r="H584" s="38" t="s">
        <v>338</v>
      </c>
      <c r="I584" s="282">
        <v>110</v>
      </c>
      <c r="J584" s="282">
        <f>K584-I584</f>
        <v>0</v>
      </c>
      <c r="K584" s="282">
        <v>110</v>
      </c>
      <c r="L584" s="31"/>
      <c r="M584" s="31"/>
      <c r="N584" s="410"/>
      <c r="O584" s="196"/>
    </row>
    <row r="585" spans="1:18" s="21" customFormat="1" ht="20.100000000000001" hidden="1" customHeight="1" x14ac:dyDescent="0.25">
      <c r="A585" s="172"/>
      <c r="B585" s="172"/>
      <c r="C585" s="172">
        <v>423</v>
      </c>
      <c r="D585" s="172"/>
      <c r="E585" s="172"/>
      <c r="F585" s="42"/>
      <c r="G585" s="181"/>
      <c r="H585" s="43" t="s">
        <v>342</v>
      </c>
      <c r="I585" s="281">
        <f t="shared" ref="I585:M587" si="105">I586</f>
        <v>0</v>
      </c>
      <c r="J585" s="281">
        <f t="shared" si="105"/>
        <v>0</v>
      </c>
      <c r="K585" s="281">
        <f t="shared" si="105"/>
        <v>0</v>
      </c>
      <c r="L585" s="31">
        <f t="shared" si="105"/>
        <v>0</v>
      </c>
      <c r="M585" s="31">
        <f t="shared" si="105"/>
        <v>0</v>
      </c>
      <c r="N585" s="410"/>
      <c r="O585" s="196"/>
      <c r="P585" s="270"/>
      <c r="Q585" s="20"/>
      <c r="R585" s="20"/>
    </row>
    <row r="586" spans="1:18" ht="20.100000000000001" hidden="1" customHeight="1" x14ac:dyDescent="0.25">
      <c r="A586" s="174"/>
      <c r="B586" s="174"/>
      <c r="C586" s="174"/>
      <c r="D586" s="174">
        <v>4231</v>
      </c>
      <c r="E586" s="174"/>
      <c r="F586" s="44"/>
      <c r="G586" s="220">
        <v>76</v>
      </c>
      <c r="H586" s="38" t="s">
        <v>70</v>
      </c>
      <c r="I586" s="282">
        <f t="shared" si="105"/>
        <v>0</v>
      </c>
      <c r="J586" s="282">
        <f t="shared" si="105"/>
        <v>0</v>
      </c>
      <c r="K586" s="282">
        <f t="shared" si="105"/>
        <v>0</v>
      </c>
      <c r="L586" s="34">
        <f t="shared" si="105"/>
        <v>0</v>
      </c>
      <c r="M586" s="34">
        <f t="shared" si="105"/>
        <v>0</v>
      </c>
      <c r="N586" s="410"/>
      <c r="O586" s="196"/>
    </row>
    <row r="587" spans="1:18" ht="20.100000000000001" hidden="1" customHeight="1" x14ac:dyDescent="0.25">
      <c r="A587" s="174"/>
      <c r="B587" s="174"/>
      <c r="C587" s="174"/>
      <c r="D587" s="174"/>
      <c r="E587" s="171" t="s">
        <v>343</v>
      </c>
      <c r="F587" s="38"/>
      <c r="G587" s="181">
        <v>76</v>
      </c>
      <c r="H587" s="38" t="s">
        <v>344</v>
      </c>
      <c r="I587" s="282">
        <f t="shared" si="105"/>
        <v>0</v>
      </c>
      <c r="J587" s="282">
        <f t="shared" si="105"/>
        <v>0</v>
      </c>
      <c r="K587" s="282">
        <f t="shared" si="105"/>
        <v>0</v>
      </c>
      <c r="L587" s="34">
        <f t="shared" si="105"/>
        <v>0</v>
      </c>
      <c r="M587" s="34">
        <f t="shared" si="105"/>
        <v>0</v>
      </c>
      <c r="N587" s="410"/>
      <c r="O587" s="196"/>
    </row>
    <row r="588" spans="1:18" ht="20.100000000000001" hidden="1" customHeight="1" x14ac:dyDescent="0.25">
      <c r="A588" s="174"/>
      <c r="B588" s="174"/>
      <c r="C588" s="174"/>
      <c r="D588" s="174"/>
      <c r="E588" s="171"/>
      <c r="F588" s="38" t="s">
        <v>345</v>
      </c>
      <c r="G588" s="181">
        <v>76</v>
      </c>
      <c r="H588" s="38" t="s">
        <v>344</v>
      </c>
      <c r="I588" s="282"/>
      <c r="J588" s="282"/>
      <c r="K588" s="282"/>
      <c r="L588" s="34">
        <v>0</v>
      </c>
      <c r="M588" s="34">
        <v>0</v>
      </c>
      <c r="N588" s="410"/>
      <c r="O588" s="196"/>
    </row>
    <row r="589" spans="1:18" ht="32.25" customHeight="1" x14ac:dyDescent="0.25">
      <c r="A589" s="243"/>
      <c r="B589" s="243"/>
      <c r="C589" s="243"/>
      <c r="D589" s="243"/>
      <c r="E589" s="243"/>
      <c r="F589" s="242"/>
      <c r="G589" s="245"/>
      <c r="H589" s="246" t="s">
        <v>536</v>
      </c>
      <c r="I589" s="280"/>
      <c r="J589" s="280"/>
      <c r="K589" s="280"/>
      <c r="L589" s="22"/>
      <c r="M589" s="22"/>
      <c r="N589" s="410"/>
      <c r="O589" s="196"/>
    </row>
    <row r="590" spans="1:18" ht="20.100000000000001" customHeight="1" x14ac:dyDescent="0.25">
      <c r="A590" s="345"/>
      <c r="B590" s="345"/>
      <c r="C590" s="345"/>
      <c r="D590" s="345"/>
      <c r="E590" s="345"/>
      <c r="F590" s="313"/>
      <c r="G590" s="347"/>
      <c r="H590" s="354" t="s">
        <v>289</v>
      </c>
      <c r="I590" s="316"/>
      <c r="J590" s="316"/>
      <c r="K590" s="389"/>
      <c r="L590" s="31"/>
      <c r="M590" s="31"/>
      <c r="N590" s="410"/>
      <c r="O590" s="196"/>
    </row>
    <row r="591" spans="1:18" s="21" customFormat="1" ht="20.100000000000001" customHeight="1" x14ac:dyDescent="0.25">
      <c r="A591" s="172">
        <v>3</v>
      </c>
      <c r="B591" s="172"/>
      <c r="C591" s="172"/>
      <c r="D591" s="172"/>
      <c r="E591" s="172"/>
      <c r="F591" s="42"/>
      <c r="G591" s="211"/>
      <c r="H591" s="43" t="s">
        <v>81</v>
      </c>
      <c r="I591" s="281">
        <f t="shared" ref="I591:K591" si="106">I592+I624</f>
        <v>12500</v>
      </c>
      <c r="J591" s="281">
        <f t="shared" si="106"/>
        <v>0</v>
      </c>
      <c r="K591" s="281">
        <f t="shared" si="106"/>
        <v>12500</v>
      </c>
      <c r="L591" s="40">
        <f>L592+L624</f>
        <v>95000</v>
      </c>
      <c r="M591" s="40">
        <f>M592+M624</f>
        <v>95000</v>
      </c>
      <c r="N591" s="410"/>
      <c r="O591" s="196"/>
      <c r="P591" s="270"/>
      <c r="Q591" s="20"/>
      <c r="R591" s="20"/>
    </row>
    <row r="592" spans="1:18" s="21" customFormat="1" ht="20.100000000000001" customHeight="1" x14ac:dyDescent="0.25">
      <c r="A592" s="172"/>
      <c r="B592" s="172">
        <v>31</v>
      </c>
      <c r="C592" s="172"/>
      <c r="D592" s="172"/>
      <c r="E592" s="172"/>
      <c r="F592" s="42"/>
      <c r="G592" s="181" t="s">
        <v>466</v>
      </c>
      <c r="H592" s="43" t="s">
        <v>13</v>
      </c>
      <c r="I592" s="281">
        <f>I593+I603+I615</f>
        <v>11300</v>
      </c>
      <c r="J592" s="281">
        <f>J593+J603+J615</f>
        <v>0</v>
      </c>
      <c r="K592" s="281">
        <f>K593+K603+K615</f>
        <v>11300</v>
      </c>
      <c r="L592" s="31">
        <f>L593+L603+L615</f>
        <v>79900</v>
      </c>
      <c r="M592" s="31">
        <f>M593+M603+M615</f>
        <v>74700</v>
      </c>
      <c r="N592" s="410"/>
      <c r="O592" s="196"/>
      <c r="P592" s="274"/>
      <c r="Q592" s="48"/>
      <c r="R592" s="20"/>
    </row>
    <row r="593" spans="1:18" s="150" customFormat="1" ht="20.100000000000001" hidden="1" customHeight="1" x14ac:dyDescent="0.25">
      <c r="A593" s="176"/>
      <c r="B593" s="176"/>
      <c r="C593" s="172">
        <v>311</v>
      </c>
      <c r="D593" s="172"/>
      <c r="E593" s="172"/>
      <c r="F593" s="42"/>
      <c r="G593" s="181" t="s">
        <v>466</v>
      </c>
      <c r="H593" s="43" t="s">
        <v>14</v>
      </c>
      <c r="I593" s="281">
        <f>I594+I600</f>
        <v>9650</v>
      </c>
      <c r="J593" s="281">
        <f>J594+J600</f>
        <v>0</v>
      </c>
      <c r="K593" s="281">
        <f>K594+K600</f>
        <v>9650</v>
      </c>
      <c r="L593" s="148">
        <f>L594+L600</f>
        <v>67900</v>
      </c>
      <c r="M593" s="148">
        <f>M594+M600</f>
        <v>63500</v>
      </c>
      <c r="N593" s="410"/>
      <c r="O593" s="196"/>
      <c r="P593" s="270"/>
      <c r="Q593" s="149"/>
      <c r="R593" s="149"/>
    </row>
    <row r="594" spans="1:18" ht="20.100000000000001" hidden="1" customHeight="1" x14ac:dyDescent="0.25">
      <c r="A594" s="174"/>
      <c r="B594" s="174"/>
      <c r="C594" s="174"/>
      <c r="D594" s="174">
        <v>3111</v>
      </c>
      <c r="E594" s="174"/>
      <c r="F594" s="44"/>
      <c r="G594" s="181" t="s">
        <v>466</v>
      </c>
      <c r="H594" s="38" t="s">
        <v>15</v>
      </c>
      <c r="I594" s="282">
        <f t="shared" ref="I594:M595" si="107">I595</f>
        <v>8600</v>
      </c>
      <c r="J594" s="282">
        <f t="shared" si="107"/>
        <v>0</v>
      </c>
      <c r="K594" s="282">
        <f t="shared" si="107"/>
        <v>8600</v>
      </c>
      <c r="L594" s="34">
        <f t="shared" si="107"/>
        <v>62000</v>
      </c>
      <c r="M594" s="34">
        <f t="shared" si="107"/>
        <v>57600</v>
      </c>
      <c r="N594" s="410"/>
      <c r="O594" s="196"/>
    </row>
    <row r="595" spans="1:18" ht="20.100000000000001" hidden="1" customHeight="1" x14ac:dyDescent="0.25">
      <c r="A595" s="174"/>
      <c r="B595" s="174"/>
      <c r="C595" s="174"/>
      <c r="D595" s="174"/>
      <c r="E595" s="171" t="s">
        <v>290</v>
      </c>
      <c r="F595" s="38"/>
      <c r="G595" s="181" t="s">
        <v>466</v>
      </c>
      <c r="H595" s="38" t="s">
        <v>291</v>
      </c>
      <c r="I595" s="282">
        <f t="shared" si="107"/>
        <v>8600</v>
      </c>
      <c r="J595" s="282">
        <f t="shared" si="107"/>
        <v>0</v>
      </c>
      <c r="K595" s="282">
        <f t="shared" si="107"/>
        <v>8600</v>
      </c>
      <c r="L595" s="34">
        <f t="shared" si="107"/>
        <v>62000</v>
      </c>
      <c r="M595" s="34">
        <f t="shared" si="107"/>
        <v>57600</v>
      </c>
      <c r="N595" s="410"/>
      <c r="O595" s="196"/>
    </row>
    <row r="596" spans="1:18" ht="20.100000000000001" hidden="1" customHeight="1" x14ac:dyDescent="0.25">
      <c r="A596" s="174"/>
      <c r="B596" s="174"/>
      <c r="C596" s="174"/>
      <c r="D596" s="174"/>
      <c r="E596" s="171"/>
      <c r="F596" s="38" t="s">
        <v>292</v>
      </c>
      <c r="G596" s="181" t="s">
        <v>466</v>
      </c>
      <c r="H596" s="38" t="s">
        <v>349</v>
      </c>
      <c r="I596" s="282">
        <v>8600</v>
      </c>
      <c r="J596" s="282">
        <f>K596-I596</f>
        <v>0</v>
      </c>
      <c r="K596" s="282">
        <v>8600</v>
      </c>
      <c r="L596" s="34">
        <v>62000</v>
      </c>
      <c r="M596" s="34">
        <v>57600</v>
      </c>
      <c r="N596" s="410"/>
      <c r="O596" s="196"/>
    </row>
    <row r="597" spans="1:18" ht="20.100000000000001" hidden="1" customHeight="1" x14ac:dyDescent="0.25">
      <c r="A597" s="174"/>
      <c r="B597" s="174"/>
      <c r="C597" s="174"/>
      <c r="D597" s="174">
        <v>3113</v>
      </c>
      <c r="E597" s="174"/>
      <c r="F597" s="44"/>
      <c r="G597" s="181" t="s">
        <v>466</v>
      </c>
      <c r="H597" s="38" t="s">
        <v>16</v>
      </c>
      <c r="I597" s="282"/>
      <c r="J597" s="282"/>
      <c r="K597" s="282"/>
      <c r="L597" s="34"/>
      <c r="M597" s="34"/>
      <c r="N597" s="410"/>
      <c r="O597" s="196"/>
    </row>
    <row r="598" spans="1:18" ht="20.100000000000001" hidden="1" customHeight="1" x14ac:dyDescent="0.25">
      <c r="A598" s="174"/>
      <c r="B598" s="174"/>
      <c r="C598" s="174"/>
      <c r="D598" s="174"/>
      <c r="E598" s="171" t="s">
        <v>293</v>
      </c>
      <c r="F598" s="38"/>
      <c r="G598" s="181" t="s">
        <v>466</v>
      </c>
      <c r="H598" s="38" t="s">
        <v>16</v>
      </c>
      <c r="I598" s="282"/>
      <c r="J598" s="282"/>
      <c r="K598" s="282"/>
      <c r="L598" s="34"/>
      <c r="M598" s="34"/>
      <c r="N598" s="410"/>
      <c r="O598" s="196"/>
    </row>
    <row r="599" spans="1:18" ht="20.100000000000001" hidden="1" customHeight="1" x14ac:dyDescent="0.25">
      <c r="A599" s="174"/>
      <c r="B599" s="174"/>
      <c r="C599" s="174"/>
      <c r="D599" s="174"/>
      <c r="E599" s="171"/>
      <c r="F599" s="38" t="s">
        <v>350</v>
      </c>
      <c r="G599" s="181" t="s">
        <v>466</v>
      </c>
      <c r="H599" s="38" t="s">
        <v>16</v>
      </c>
      <c r="I599" s="282"/>
      <c r="J599" s="282"/>
      <c r="K599" s="282"/>
      <c r="L599" s="34"/>
      <c r="M599" s="34"/>
      <c r="N599" s="410"/>
      <c r="O599" s="196"/>
    </row>
    <row r="600" spans="1:18" ht="20.100000000000001" hidden="1" customHeight="1" x14ac:dyDescent="0.25">
      <c r="A600" s="174"/>
      <c r="B600" s="174"/>
      <c r="C600" s="174"/>
      <c r="D600" s="174">
        <v>3114</v>
      </c>
      <c r="E600" s="174"/>
      <c r="F600" s="44"/>
      <c r="G600" s="181" t="s">
        <v>466</v>
      </c>
      <c r="H600" s="38" t="s">
        <v>17</v>
      </c>
      <c r="I600" s="282">
        <f t="shared" ref="I600:M601" si="108">I601</f>
        <v>1050</v>
      </c>
      <c r="J600" s="282">
        <f t="shared" si="108"/>
        <v>0</v>
      </c>
      <c r="K600" s="282">
        <f t="shared" si="108"/>
        <v>1050</v>
      </c>
      <c r="L600" s="34">
        <f t="shared" si="108"/>
        <v>5900</v>
      </c>
      <c r="M600" s="34">
        <f t="shared" si="108"/>
        <v>5900</v>
      </c>
      <c r="N600" s="410"/>
      <c r="O600" s="196"/>
    </row>
    <row r="601" spans="1:18" ht="20.100000000000001" hidden="1" customHeight="1" x14ac:dyDescent="0.25">
      <c r="A601" s="174"/>
      <c r="B601" s="174"/>
      <c r="C601" s="174"/>
      <c r="D601" s="174"/>
      <c r="E601" s="171" t="s">
        <v>295</v>
      </c>
      <c r="F601" s="38"/>
      <c r="G601" s="181" t="s">
        <v>466</v>
      </c>
      <c r="H601" s="38" t="s">
        <v>17</v>
      </c>
      <c r="I601" s="282">
        <f t="shared" si="108"/>
        <v>1050</v>
      </c>
      <c r="J601" s="282">
        <f t="shared" si="108"/>
        <v>0</v>
      </c>
      <c r="K601" s="282">
        <f t="shared" si="108"/>
        <v>1050</v>
      </c>
      <c r="L601" s="34">
        <f t="shared" si="108"/>
        <v>5900</v>
      </c>
      <c r="M601" s="34">
        <f t="shared" si="108"/>
        <v>5900</v>
      </c>
      <c r="N601" s="410"/>
      <c r="O601" s="196"/>
      <c r="P601" s="276"/>
      <c r="Q601" s="37"/>
    </row>
    <row r="602" spans="1:18" ht="20.100000000000001" hidden="1" customHeight="1" x14ac:dyDescent="0.25">
      <c r="A602" s="174"/>
      <c r="B602" s="174"/>
      <c r="C602" s="174"/>
      <c r="D602" s="174"/>
      <c r="E602" s="171"/>
      <c r="F602" s="38" t="s">
        <v>296</v>
      </c>
      <c r="G602" s="181" t="s">
        <v>466</v>
      </c>
      <c r="H602" s="38" t="s">
        <v>17</v>
      </c>
      <c r="I602" s="282">
        <v>1050</v>
      </c>
      <c r="J602" s="282">
        <f>K602-I602</f>
        <v>0</v>
      </c>
      <c r="K602" s="282">
        <v>1050</v>
      </c>
      <c r="L602" s="34">
        <v>5900</v>
      </c>
      <c r="M602" s="34">
        <v>5900</v>
      </c>
      <c r="N602" s="410"/>
      <c r="O602" s="196"/>
      <c r="P602" s="276"/>
      <c r="Q602" s="37"/>
    </row>
    <row r="603" spans="1:18" s="150" customFormat="1" ht="20.100000000000001" hidden="1" customHeight="1" x14ac:dyDescent="0.25">
      <c r="A603" s="176"/>
      <c r="B603" s="176"/>
      <c r="C603" s="172">
        <v>312</v>
      </c>
      <c r="D603" s="172"/>
      <c r="E603" s="172"/>
      <c r="F603" s="42"/>
      <c r="G603" s="181" t="s">
        <v>466</v>
      </c>
      <c r="H603" s="43" t="s">
        <v>18</v>
      </c>
      <c r="I603" s="281">
        <f>I604</f>
        <v>100</v>
      </c>
      <c r="J603" s="281">
        <f>J604</f>
        <v>0</v>
      </c>
      <c r="K603" s="281">
        <f>K604</f>
        <v>100</v>
      </c>
      <c r="L603" s="148">
        <f>L604</f>
        <v>400</v>
      </c>
      <c r="M603" s="148">
        <f>M604</f>
        <v>400</v>
      </c>
      <c r="N603" s="410"/>
      <c r="O603" s="196"/>
      <c r="P603" s="270"/>
      <c r="Q603" s="149"/>
      <c r="R603" s="149"/>
    </row>
    <row r="604" spans="1:18" ht="20.100000000000001" hidden="1" customHeight="1" x14ac:dyDescent="0.25">
      <c r="A604" s="174"/>
      <c r="B604" s="174"/>
      <c r="C604" s="174"/>
      <c r="D604" s="174">
        <v>3121</v>
      </c>
      <c r="E604" s="174"/>
      <c r="F604" s="44"/>
      <c r="G604" s="181" t="s">
        <v>466</v>
      </c>
      <c r="H604" s="38" t="s">
        <v>18</v>
      </c>
      <c r="I604" s="282">
        <f>I613</f>
        <v>100</v>
      </c>
      <c r="J604" s="282">
        <f>J613</f>
        <v>0</v>
      </c>
      <c r="K604" s="282">
        <f>K613</f>
        <v>100</v>
      </c>
      <c r="L604" s="34">
        <f>L613</f>
        <v>400</v>
      </c>
      <c r="M604" s="34">
        <f>M613</f>
        <v>400</v>
      </c>
      <c r="N604" s="410"/>
      <c r="O604" s="196"/>
    </row>
    <row r="605" spans="1:18" ht="20.100000000000001" hidden="1" customHeight="1" x14ac:dyDescent="0.25">
      <c r="A605" s="174"/>
      <c r="B605" s="174"/>
      <c r="C605" s="174"/>
      <c r="D605" s="174"/>
      <c r="E605" s="171" t="s">
        <v>84</v>
      </c>
      <c r="F605" s="38"/>
      <c r="G605" s="181" t="s">
        <v>466</v>
      </c>
      <c r="H605" s="38" t="s">
        <v>85</v>
      </c>
      <c r="I605" s="282"/>
      <c r="J605" s="282"/>
      <c r="K605" s="282"/>
      <c r="L605" s="34"/>
      <c r="M605" s="34"/>
      <c r="N605" s="410"/>
      <c r="O605" s="196"/>
    </row>
    <row r="606" spans="1:18" ht="20.100000000000001" hidden="1" customHeight="1" x14ac:dyDescent="0.25">
      <c r="A606" s="174"/>
      <c r="B606" s="174"/>
      <c r="C606" s="174"/>
      <c r="D606" s="174"/>
      <c r="E606" s="171"/>
      <c r="F606" s="38" t="s">
        <v>86</v>
      </c>
      <c r="G606" s="181" t="s">
        <v>466</v>
      </c>
      <c r="H606" s="38" t="s">
        <v>85</v>
      </c>
      <c r="I606" s="282"/>
      <c r="J606" s="282"/>
      <c r="K606" s="282"/>
      <c r="L606" s="34"/>
      <c r="M606" s="34"/>
      <c r="N606" s="410"/>
      <c r="O606" s="196"/>
    </row>
    <row r="607" spans="1:18" ht="20.100000000000001" hidden="1" customHeight="1" x14ac:dyDescent="0.25">
      <c r="A607" s="174"/>
      <c r="B607" s="174"/>
      <c r="C607" s="174"/>
      <c r="D607" s="174"/>
      <c r="E607" s="171" t="s">
        <v>87</v>
      </c>
      <c r="F607" s="38"/>
      <c r="G607" s="181" t="s">
        <v>466</v>
      </c>
      <c r="H607" s="38" t="s">
        <v>88</v>
      </c>
      <c r="I607" s="282"/>
      <c r="J607" s="282"/>
      <c r="K607" s="282"/>
      <c r="L607" s="34"/>
      <c r="M607" s="34"/>
      <c r="N607" s="410"/>
      <c r="O607" s="196"/>
    </row>
    <row r="608" spans="1:18" ht="20.100000000000001" hidden="1" customHeight="1" x14ac:dyDescent="0.25">
      <c r="A608" s="174"/>
      <c r="B608" s="174"/>
      <c r="C608" s="174"/>
      <c r="D608" s="174"/>
      <c r="E608" s="171"/>
      <c r="F608" s="38" t="s">
        <v>89</v>
      </c>
      <c r="G608" s="181" t="s">
        <v>466</v>
      </c>
      <c r="H608" s="38" t="s">
        <v>88</v>
      </c>
      <c r="I608" s="282"/>
      <c r="J608" s="282"/>
      <c r="K608" s="282"/>
      <c r="L608" s="34"/>
      <c r="M608" s="34"/>
      <c r="N608" s="410"/>
      <c r="O608" s="196"/>
    </row>
    <row r="609" spans="1:18" ht="20.100000000000001" hidden="1" customHeight="1" x14ac:dyDescent="0.25">
      <c r="A609" s="174"/>
      <c r="B609" s="174"/>
      <c r="C609" s="174"/>
      <c r="D609" s="174"/>
      <c r="E609" s="171" t="s">
        <v>90</v>
      </c>
      <c r="F609" s="38"/>
      <c r="G609" s="181" t="s">
        <v>466</v>
      </c>
      <c r="H609" s="38" t="s">
        <v>91</v>
      </c>
      <c r="I609" s="282"/>
      <c r="J609" s="282"/>
      <c r="K609" s="282"/>
      <c r="L609" s="34"/>
      <c r="M609" s="34"/>
      <c r="N609" s="410"/>
      <c r="O609" s="196"/>
    </row>
    <row r="610" spans="1:18" ht="20.100000000000001" hidden="1" customHeight="1" x14ac:dyDescent="0.25">
      <c r="A610" s="174"/>
      <c r="B610" s="174"/>
      <c r="C610" s="174"/>
      <c r="D610" s="174"/>
      <c r="E610" s="171"/>
      <c r="F610" s="38" t="s">
        <v>92</v>
      </c>
      <c r="G610" s="181" t="s">
        <v>466</v>
      </c>
      <c r="H610" s="38" t="s">
        <v>91</v>
      </c>
      <c r="I610" s="282"/>
      <c r="J610" s="282"/>
      <c r="K610" s="282"/>
      <c r="L610" s="34"/>
      <c r="M610" s="34"/>
      <c r="N610" s="410"/>
      <c r="O610" s="196"/>
    </row>
    <row r="611" spans="1:18" ht="20.100000000000001" hidden="1" customHeight="1" x14ac:dyDescent="0.25">
      <c r="A611" s="174"/>
      <c r="B611" s="174"/>
      <c r="C611" s="174"/>
      <c r="D611" s="174"/>
      <c r="E611" s="171" t="s">
        <v>93</v>
      </c>
      <c r="F611" s="38"/>
      <c r="G611" s="181" t="s">
        <v>466</v>
      </c>
      <c r="H611" s="38" t="s">
        <v>94</v>
      </c>
      <c r="I611" s="282"/>
      <c r="J611" s="282"/>
      <c r="K611" s="282"/>
      <c r="L611" s="34"/>
      <c r="M611" s="34"/>
      <c r="N611" s="410"/>
      <c r="O611" s="196"/>
    </row>
    <row r="612" spans="1:18" ht="20.100000000000001" hidden="1" customHeight="1" x14ac:dyDescent="0.25">
      <c r="A612" s="174"/>
      <c r="B612" s="174"/>
      <c r="C612" s="174"/>
      <c r="D612" s="174"/>
      <c r="E612" s="171"/>
      <c r="F612" s="38" t="s">
        <v>95</v>
      </c>
      <c r="G612" s="181" t="s">
        <v>466</v>
      </c>
      <c r="H612" s="38" t="s">
        <v>94</v>
      </c>
      <c r="I612" s="282"/>
      <c r="J612" s="282"/>
      <c r="K612" s="282"/>
      <c r="L612" s="34"/>
      <c r="M612" s="34"/>
      <c r="N612" s="410"/>
      <c r="O612" s="196"/>
    </row>
    <row r="613" spans="1:18" ht="20.100000000000001" hidden="1" customHeight="1" x14ac:dyDescent="0.25">
      <c r="A613" s="174"/>
      <c r="B613" s="174"/>
      <c r="C613" s="174"/>
      <c r="D613" s="174"/>
      <c r="E613" s="171" t="s">
        <v>96</v>
      </c>
      <c r="F613" s="38"/>
      <c r="G613" s="181" t="s">
        <v>466</v>
      </c>
      <c r="H613" s="38" t="s">
        <v>97</v>
      </c>
      <c r="I613" s="282">
        <f>I614</f>
        <v>100</v>
      </c>
      <c r="J613" s="282">
        <f>J614</f>
        <v>0</v>
      </c>
      <c r="K613" s="282">
        <f>K614</f>
        <v>100</v>
      </c>
      <c r="L613" s="34">
        <f>L614</f>
        <v>400</v>
      </c>
      <c r="M613" s="34">
        <f>M614</f>
        <v>400</v>
      </c>
      <c r="N613" s="410"/>
      <c r="O613" s="196"/>
    </row>
    <row r="614" spans="1:18" ht="20.100000000000001" hidden="1" customHeight="1" x14ac:dyDescent="0.25">
      <c r="A614" s="174"/>
      <c r="B614" s="174"/>
      <c r="C614" s="174"/>
      <c r="D614" s="174"/>
      <c r="E614" s="171"/>
      <c r="F614" s="38" t="s">
        <v>98</v>
      </c>
      <c r="G614" s="181" t="s">
        <v>466</v>
      </c>
      <c r="H614" s="38" t="s">
        <v>97</v>
      </c>
      <c r="I614" s="282">
        <v>100</v>
      </c>
      <c r="J614" s="282">
        <f>K614-I614</f>
        <v>0</v>
      </c>
      <c r="K614" s="282">
        <v>100</v>
      </c>
      <c r="L614" s="34">
        <v>400</v>
      </c>
      <c r="M614" s="34">
        <v>400</v>
      </c>
      <c r="N614" s="410"/>
      <c r="O614" s="196"/>
    </row>
    <row r="615" spans="1:18" s="150" customFormat="1" ht="20.100000000000001" hidden="1" customHeight="1" x14ac:dyDescent="0.25">
      <c r="A615" s="176"/>
      <c r="B615" s="176"/>
      <c r="C615" s="172">
        <v>313</v>
      </c>
      <c r="D615" s="172"/>
      <c r="E615" s="172"/>
      <c r="F615" s="42"/>
      <c r="G615" s="181" t="s">
        <v>466</v>
      </c>
      <c r="H615" s="43" t="s">
        <v>100</v>
      </c>
      <c r="I615" s="281">
        <f>I616+I621</f>
        <v>1550</v>
      </c>
      <c r="J615" s="281">
        <f>J616+J621</f>
        <v>0</v>
      </c>
      <c r="K615" s="281">
        <f>K616+K621</f>
        <v>1550</v>
      </c>
      <c r="L615" s="148">
        <f>L616+L621</f>
        <v>11600</v>
      </c>
      <c r="M615" s="148">
        <f>M616+M621</f>
        <v>10800</v>
      </c>
      <c r="N615" s="410"/>
      <c r="O615" s="196"/>
      <c r="P615" s="270"/>
      <c r="Q615" s="149"/>
      <c r="R615" s="149"/>
    </row>
    <row r="616" spans="1:18" ht="20.100000000000001" hidden="1" customHeight="1" x14ac:dyDescent="0.25">
      <c r="A616" s="174"/>
      <c r="B616" s="174"/>
      <c r="C616" s="174"/>
      <c r="D616" s="174">
        <v>3132</v>
      </c>
      <c r="E616" s="174"/>
      <c r="F616" s="44"/>
      <c r="G616" s="181" t="s">
        <v>466</v>
      </c>
      <c r="H616" s="38" t="s">
        <v>20</v>
      </c>
      <c r="I616" s="282">
        <f t="shared" ref="I616:M617" si="109">I617</f>
        <v>1550</v>
      </c>
      <c r="J616" s="282">
        <f t="shared" si="109"/>
        <v>0</v>
      </c>
      <c r="K616" s="282">
        <f t="shared" si="109"/>
        <v>1550</v>
      </c>
      <c r="L616" s="34">
        <f t="shared" si="109"/>
        <v>10500</v>
      </c>
      <c r="M616" s="34">
        <f t="shared" si="109"/>
        <v>9700</v>
      </c>
      <c r="N616" s="410"/>
      <c r="O616" s="196"/>
    </row>
    <row r="617" spans="1:18" ht="20.100000000000001" hidden="1" customHeight="1" x14ac:dyDescent="0.25">
      <c r="A617" s="174"/>
      <c r="B617" s="174"/>
      <c r="C617" s="174"/>
      <c r="D617" s="174"/>
      <c r="E617" s="171" t="s">
        <v>300</v>
      </c>
      <c r="F617" s="38"/>
      <c r="G617" s="181" t="s">
        <v>466</v>
      </c>
      <c r="H617" s="38" t="s">
        <v>20</v>
      </c>
      <c r="I617" s="282">
        <f t="shared" si="109"/>
        <v>1550</v>
      </c>
      <c r="J617" s="282">
        <f t="shared" si="109"/>
        <v>0</v>
      </c>
      <c r="K617" s="282">
        <f t="shared" si="109"/>
        <v>1550</v>
      </c>
      <c r="L617" s="34">
        <f t="shared" si="109"/>
        <v>10500</v>
      </c>
      <c r="M617" s="34">
        <f t="shared" si="109"/>
        <v>9700</v>
      </c>
      <c r="N617" s="410"/>
      <c r="O617" s="196"/>
    </row>
    <row r="618" spans="1:18" ht="15" hidden="1" customHeight="1" x14ac:dyDescent="0.25">
      <c r="A618" s="174"/>
      <c r="B618" s="174"/>
      <c r="C618" s="174"/>
      <c r="D618" s="174"/>
      <c r="E618" s="171"/>
      <c r="F618" s="38" t="s">
        <v>301</v>
      </c>
      <c r="G618" s="181" t="s">
        <v>466</v>
      </c>
      <c r="H618" s="38" t="s">
        <v>20</v>
      </c>
      <c r="I618" s="282">
        <v>1550</v>
      </c>
      <c r="J618" s="282">
        <f>K618-I618</f>
        <v>0</v>
      </c>
      <c r="K618" s="282">
        <v>1550</v>
      </c>
      <c r="L618" s="34">
        <v>10500</v>
      </c>
      <c r="M618" s="34">
        <v>9700</v>
      </c>
      <c r="N618" s="410"/>
      <c r="O618" s="196"/>
    </row>
    <row r="619" spans="1:18" ht="30" hidden="1" customHeight="1" x14ac:dyDescent="0.25">
      <c r="A619" s="174"/>
      <c r="B619" s="174"/>
      <c r="C619" s="174"/>
      <c r="D619" s="174"/>
      <c r="E619" s="171" t="s">
        <v>302</v>
      </c>
      <c r="F619" s="38"/>
      <c r="G619" s="181" t="s">
        <v>466</v>
      </c>
      <c r="H619" s="38" t="s">
        <v>101</v>
      </c>
      <c r="I619" s="282"/>
      <c r="J619" s="282"/>
      <c r="K619" s="282"/>
      <c r="L619" s="34"/>
      <c r="M619" s="34"/>
      <c r="N619" s="410"/>
      <c r="O619" s="196"/>
    </row>
    <row r="620" spans="1:18" ht="30" hidden="1" customHeight="1" x14ac:dyDescent="0.25">
      <c r="A620" s="174"/>
      <c r="B620" s="174"/>
      <c r="C620" s="174"/>
      <c r="D620" s="174"/>
      <c r="E620" s="171"/>
      <c r="F620" s="38" t="s">
        <v>303</v>
      </c>
      <c r="G620" s="181" t="s">
        <v>466</v>
      </c>
      <c r="H620" s="38" t="s">
        <v>101</v>
      </c>
      <c r="I620" s="282"/>
      <c r="J620" s="282"/>
      <c r="K620" s="282"/>
      <c r="L620" s="34"/>
      <c r="M620" s="34"/>
      <c r="N620" s="410"/>
      <c r="O620" s="196"/>
    </row>
    <row r="621" spans="1:18" ht="28.5" hidden="1" customHeight="1" x14ac:dyDescent="0.25">
      <c r="A621" s="174"/>
      <c r="B621" s="174"/>
      <c r="C621" s="174"/>
      <c r="D621" s="174">
        <v>3133</v>
      </c>
      <c r="E621" s="174"/>
      <c r="F621" s="44"/>
      <c r="G621" s="181" t="s">
        <v>466</v>
      </c>
      <c r="H621" s="38" t="s">
        <v>21</v>
      </c>
      <c r="I621" s="282">
        <f t="shared" ref="I621:M622" si="110">I622</f>
        <v>0</v>
      </c>
      <c r="J621" s="282">
        <f t="shared" si="110"/>
        <v>0</v>
      </c>
      <c r="K621" s="282">
        <f t="shared" si="110"/>
        <v>0</v>
      </c>
      <c r="L621" s="34">
        <f t="shared" si="110"/>
        <v>1100</v>
      </c>
      <c r="M621" s="34">
        <f t="shared" si="110"/>
        <v>1100</v>
      </c>
      <c r="N621" s="410"/>
      <c r="O621" s="196"/>
    </row>
    <row r="622" spans="1:18" ht="30" hidden="1" customHeight="1" x14ac:dyDescent="0.25">
      <c r="A622" s="174"/>
      <c r="B622" s="174"/>
      <c r="C622" s="174"/>
      <c r="D622" s="174"/>
      <c r="E622" s="171" t="s">
        <v>304</v>
      </c>
      <c r="F622" s="38"/>
      <c r="G622" s="181" t="s">
        <v>466</v>
      </c>
      <c r="H622" s="38" t="s">
        <v>21</v>
      </c>
      <c r="I622" s="282">
        <f t="shared" si="110"/>
        <v>0</v>
      </c>
      <c r="J622" s="282">
        <f t="shared" si="110"/>
        <v>0</v>
      </c>
      <c r="K622" s="282">
        <f t="shared" si="110"/>
        <v>0</v>
      </c>
      <c r="L622" s="39">
        <f t="shared" si="110"/>
        <v>1100</v>
      </c>
      <c r="M622" s="39">
        <f t="shared" si="110"/>
        <v>1100</v>
      </c>
      <c r="N622" s="410"/>
      <c r="O622" s="196"/>
    </row>
    <row r="623" spans="1:18" ht="30" hidden="1" customHeight="1" x14ac:dyDescent="0.25">
      <c r="A623" s="174"/>
      <c r="B623" s="174"/>
      <c r="C623" s="174"/>
      <c r="D623" s="174"/>
      <c r="E623" s="171"/>
      <c r="F623" s="38" t="s">
        <v>305</v>
      </c>
      <c r="G623" s="181">
        <v>31</v>
      </c>
      <c r="H623" s="38" t="s">
        <v>21</v>
      </c>
      <c r="I623" s="282">
        <v>0</v>
      </c>
      <c r="J623" s="282">
        <f>K623-I623</f>
        <v>0</v>
      </c>
      <c r="K623" s="282">
        <v>0</v>
      </c>
      <c r="L623" s="34">
        <v>1100</v>
      </c>
      <c r="M623" s="34">
        <v>1100</v>
      </c>
      <c r="N623" s="410"/>
      <c r="O623" s="196"/>
    </row>
    <row r="624" spans="1:18" s="20" customFormat="1" ht="20.100000000000001" customHeight="1" x14ac:dyDescent="0.25">
      <c r="A624" s="172"/>
      <c r="B624" s="172">
        <v>32</v>
      </c>
      <c r="C624" s="172"/>
      <c r="D624" s="172"/>
      <c r="E624" s="172"/>
      <c r="F624" s="42"/>
      <c r="G624" s="181" t="s">
        <v>466</v>
      </c>
      <c r="H624" s="43" t="s">
        <v>22</v>
      </c>
      <c r="I624" s="281">
        <f>I625+I646+I673</f>
        <v>1200</v>
      </c>
      <c r="J624" s="281">
        <f>J625+J646+J673</f>
        <v>0</v>
      </c>
      <c r="K624" s="281">
        <f>K625+K646+K673</f>
        <v>1200</v>
      </c>
      <c r="L624" s="31">
        <f>L625+L646+L673</f>
        <v>15100</v>
      </c>
      <c r="M624" s="31">
        <f>M625+M646+M673</f>
        <v>20300</v>
      </c>
      <c r="N624" s="410"/>
      <c r="O624" s="196"/>
      <c r="P624" s="270"/>
    </row>
    <row r="625" spans="1:18" s="21" customFormat="1" ht="20.100000000000001" hidden="1" customHeight="1" x14ac:dyDescent="0.25">
      <c r="A625" s="172"/>
      <c r="B625" s="172"/>
      <c r="C625" s="172">
        <v>321</v>
      </c>
      <c r="D625" s="172"/>
      <c r="E625" s="172"/>
      <c r="F625" s="42"/>
      <c r="G625" s="181" t="s">
        <v>466</v>
      </c>
      <c r="H625" s="43" t="s">
        <v>23</v>
      </c>
      <c r="I625" s="281">
        <f>I635</f>
        <v>0</v>
      </c>
      <c r="J625" s="281">
        <f>J635</f>
        <v>0</v>
      </c>
      <c r="K625" s="281">
        <f>K635</f>
        <v>0</v>
      </c>
      <c r="L625" s="40">
        <f>L635</f>
        <v>0</v>
      </c>
      <c r="M625" s="40">
        <f>M635</f>
        <v>0</v>
      </c>
      <c r="N625" s="410"/>
      <c r="O625" s="196"/>
      <c r="P625" s="270"/>
      <c r="Q625" s="20"/>
      <c r="R625" s="20"/>
    </row>
    <row r="626" spans="1:18" ht="20.100000000000001" hidden="1" customHeight="1" x14ac:dyDescent="0.25">
      <c r="A626" s="174"/>
      <c r="B626" s="174"/>
      <c r="C626" s="174"/>
      <c r="D626" s="174">
        <v>3211</v>
      </c>
      <c r="E626" s="174"/>
      <c r="F626" s="44"/>
      <c r="G626" s="181"/>
      <c r="H626" s="38" t="s">
        <v>24</v>
      </c>
      <c r="I626" s="282"/>
      <c r="J626" s="282"/>
      <c r="K626" s="282"/>
      <c r="L626" s="31"/>
      <c r="M626" s="31"/>
      <c r="N626" s="410"/>
      <c r="O626" s="196"/>
    </row>
    <row r="627" spans="1:18" ht="20.100000000000001" hidden="1" customHeight="1" x14ac:dyDescent="0.25">
      <c r="A627" s="174"/>
      <c r="B627" s="174"/>
      <c r="C627" s="174"/>
      <c r="D627" s="174"/>
      <c r="E627" s="171" t="s">
        <v>306</v>
      </c>
      <c r="F627" s="38"/>
      <c r="G627" s="181"/>
      <c r="H627" s="38" t="s">
        <v>102</v>
      </c>
      <c r="I627" s="282"/>
      <c r="J627" s="282"/>
      <c r="K627" s="282"/>
      <c r="L627" s="31"/>
      <c r="M627" s="31"/>
      <c r="N627" s="410"/>
      <c r="O627" s="196"/>
    </row>
    <row r="628" spans="1:18" ht="20.100000000000001" hidden="1" customHeight="1" x14ac:dyDescent="0.25">
      <c r="A628" s="174"/>
      <c r="B628" s="174"/>
      <c r="C628" s="174"/>
      <c r="D628" s="174"/>
      <c r="E628" s="171"/>
      <c r="F628" s="38" t="s">
        <v>307</v>
      </c>
      <c r="G628" s="181"/>
      <c r="H628" s="38" t="s">
        <v>102</v>
      </c>
      <c r="I628" s="282"/>
      <c r="J628" s="282"/>
      <c r="K628" s="282"/>
      <c r="L628" s="31"/>
      <c r="M628" s="31"/>
      <c r="N628" s="410"/>
      <c r="O628" s="196"/>
    </row>
    <row r="629" spans="1:18" ht="30" hidden="1" customHeight="1" x14ac:dyDescent="0.25">
      <c r="A629" s="174"/>
      <c r="B629" s="174"/>
      <c r="C629" s="174"/>
      <c r="D629" s="174"/>
      <c r="E629" s="171" t="s">
        <v>308</v>
      </c>
      <c r="F629" s="38"/>
      <c r="G629" s="181"/>
      <c r="H629" s="38" t="s">
        <v>103</v>
      </c>
      <c r="I629" s="282"/>
      <c r="J629" s="282"/>
      <c r="K629" s="282"/>
      <c r="L629" s="31"/>
      <c r="M629" s="31"/>
      <c r="N629" s="410"/>
      <c r="O629" s="196"/>
    </row>
    <row r="630" spans="1:18" ht="30" hidden="1" customHeight="1" x14ac:dyDescent="0.25">
      <c r="A630" s="174"/>
      <c r="B630" s="174"/>
      <c r="C630" s="174"/>
      <c r="D630" s="174"/>
      <c r="E630" s="171"/>
      <c r="F630" s="38" t="s">
        <v>309</v>
      </c>
      <c r="G630" s="181"/>
      <c r="H630" s="38" t="s">
        <v>103</v>
      </c>
      <c r="I630" s="282"/>
      <c r="J630" s="282"/>
      <c r="K630" s="282"/>
      <c r="L630" s="31"/>
      <c r="M630" s="31"/>
      <c r="N630" s="410"/>
      <c r="O630" s="196"/>
    </row>
    <row r="631" spans="1:18" ht="30" hidden="1" customHeight="1" x14ac:dyDescent="0.25">
      <c r="A631" s="174"/>
      <c r="B631" s="174"/>
      <c r="C631" s="174"/>
      <c r="D631" s="174"/>
      <c r="E631" s="171" t="s">
        <v>310</v>
      </c>
      <c r="F631" s="38"/>
      <c r="G631" s="181"/>
      <c r="H631" s="38" t="s">
        <v>351</v>
      </c>
      <c r="I631" s="282"/>
      <c r="J631" s="282"/>
      <c r="K631" s="282"/>
      <c r="L631" s="31"/>
      <c r="M631" s="31"/>
      <c r="N631" s="410"/>
      <c r="O631" s="196"/>
    </row>
    <row r="632" spans="1:18" ht="30" hidden="1" customHeight="1" x14ac:dyDescent="0.25">
      <c r="A632" s="174"/>
      <c r="B632" s="174"/>
      <c r="C632" s="174"/>
      <c r="D632" s="174"/>
      <c r="E632" s="171"/>
      <c r="F632" s="38" t="s">
        <v>311</v>
      </c>
      <c r="G632" s="181"/>
      <c r="H632" s="38" t="s">
        <v>351</v>
      </c>
      <c r="I632" s="282"/>
      <c r="J632" s="282"/>
      <c r="K632" s="282"/>
      <c r="L632" s="31"/>
      <c r="M632" s="31"/>
      <c r="N632" s="410"/>
      <c r="O632" s="196"/>
    </row>
    <row r="633" spans="1:18" ht="20.100000000000001" hidden="1" customHeight="1" x14ac:dyDescent="0.25">
      <c r="A633" s="174"/>
      <c r="B633" s="174"/>
      <c r="C633" s="174"/>
      <c r="D633" s="174"/>
      <c r="E633" s="171" t="s">
        <v>312</v>
      </c>
      <c r="F633" s="38"/>
      <c r="G633" s="181"/>
      <c r="H633" s="38" t="s">
        <v>105</v>
      </c>
      <c r="I633" s="282"/>
      <c r="J633" s="282"/>
      <c r="K633" s="282"/>
      <c r="L633" s="31"/>
      <c r="M633" s="31"/>
      <c r="N633" s="410"/>
      <c r="O633" s="196"/>
    </row>
    <row r="634" spans="1:18" ht="20.100000000000001" hidden="1" customHeight="1" x14ac:dyDescent="0.25">
      <c r="A634" s="174"/>
      <c r="B634" s="174"/>
      <c r="C634" s="174"/>
      <c r="D634" s="174"/>
      <c r="E634" s="171"/>
      <c r="F634" s="38" t="s">
        <v>313</v>
      </c>
      <c r="G634" s="181"/>
      <c r="H634" s="38" t="s">
        <v>105</v>
      </c>
      <c r="I634" s="282"/>
      <c r="J634" s="282"/>
      <c r="K634" s="282"/>
      <c r="L634" s="31"/>
      <c r="M634" s="31"/>
      <c r="N634" s="410"/>
      <c r="O634" s="196"/>
    </row>
    <row r="635" spans="1:18" ht="28.5" hidden="1" customHeight="1" x14ac:dyDescent="0.25">
      <c r="A635" s="174"/>
      <c r="B635" s="174"/>
      <c r="C635" s="174"/>
      <c r="D635" s="174">
        <v>3212</v>
      </c>
      <c r="E635" s="174"/>
      <c r="F635" s="44"/>
      <c r="G635" s="181"/>
      <c r="H635" s="38" t="s">
        <v>25</v>
      </c>
      <c r="I635" s="282">
        <f t="shared" ref="I635:M636" si="111">I636</f>
        <v>0</v>
      </c>
      <c r="J635" s="282">
        <f t="shared" si="111"/>
        <v>0</v>
      </c>
      <c r="K635" s="282">
        <f t="shared" si="111"/>
        <v>0</v>
      </c>
      <c r="L635" s="34">
        <f t="shared" si="111"/>
        <v>0</v>
      </c>
      <c r="M635" s="34">
        <f t="shared" si="111"/>
        <v>0</v>
      </c>
      <c r="N635" s="410"/>
      <c r="O635" s="196"/>
    </row>
    <row r="636" spans="1:18" ht="20.100000000000001" hidden="1" customHeight="1" x14ac:dyDescent="0.25">
      <c r="A636" s="174"/>
      <c r="B636" s="174"/>
      <c r="C636" s="174"/>
      <c r="D636" s="174"/>
      <c r="E636" s="171" t="s">
        <v>314</v>
      </c>
      <c r="F636" s="38"/>
      <c r="G636" s="181"/>
      <c r="H636" s="38" t="s">
        <v>106</v>
      </c>
      <c r="I636" s="282">
        <f t="shared" si="111"/>
        <v>0</v>
      </c>
      <c r="J636" s="282">
        <f t="shared" si="111"/>
        <v>0</v>
      </c>
      <c r="K636" s="282">
        <f t="shared" si="111"/>
        <v>0</v>
      </c>
      <c r="L636" s="34">
        <f t="shared" si="111"/>
        <v>0</v>
      </c>
      <c r="M636" s="34">
        <f t="shared" si="111"/>
        <v>0</v>
      </c>
      <c r="N636" s="410"/>
      <c r="O636" s="196"/>
    </row>
    <row r="637" spans="1:18" ht="20.100000000000001" hidden="1" customHeight="1" x14ac:dyDescent="0.25">
      <c r="A637" s="174"/>
      <c r="B637" s="174"/>
      <c r="C637" s="174"/>
      <c r="D637" s="174"/>
      <c r="E637" s="171"/>
      <c r="F637" s="38" t="s">
        <v>315</v>
      </c>
      <c r="G637" s="181"/>
      <c r="H637" s="38" t="s">
        <v>106</v>
      </c>
      <c r="I637" s="282">
        <v>0</v>
      </c>
      <c r="J637" s="282">
        <v>0</v>
      </c>
      <c r="K637" s="282">
        <f>I637+J637</f>
        <v>0</v>
      </c>
      <c r="L637" s="34">
        <v>0</v>
      </c>
      <c r="M637" s="34">
        <v>0</v>
      </c>
      <c r="N637" s="410"/>
      <c r="O637" s="196"/>
    </row>
    <row r="638" spans="1:18" ht="20.100000000000001" hidden="1" customHeight="1" x14ac:dyDescent="0.25">
      <c r="A638" s="174"/>
      <c r="B638" s="174"/>
      <c r="C638" s="174"/>
      <c r="D638" s="174"/>
      <c r="E638" s="171" t="s">
        <v>316</v>
      </c>
      <c r="F638" s="38"/>
      <c r="G638" s="181"/>
      <c r="H638" s="38" t="s">
        <v>317</v>
      </c>
      <c r="I638" s="282"/>
      <c r="J638" s="282"/>
      <c r="K638" s="282"/>
      <c r="L638" s="31"/>
      <c r="M638" s="31"/>
      <c r="N638" s="410"/>
      <c r="O638" s="196"/>
    </row>
    <row r="639" spans="1:18" ht="20.100000000000001" hidden="1" customHeight="1" x14ac:dyDescent="0.25">
      <c r="A639" s="174"/>
      <c r="B639" s="174"/>
      <c r="C639" s="174"/>
      <c r="D639" s="174"/>
      <c r="E639" s="171"/>
      <c r="F639" s="38" t="s">
        <v>318</v>
      </c>
      <c r="G639" s="181"/>
      <c r="H639" s="38" t="s">
        <v>317</v>
      </c>
      <c r="I639" s="282"/>
      <c r="J639" s="282"/>
      <c r="K639" s="282"/>
      <c r="L639" s="31"/>
      <c r="M639" s="31"/>
      <c r="N639" s="410"/>
      <c r="O639" s="196"/>
    </row>
    <row r="640" spans="1:18" ht="20.100000000000001" hidden="1" customHeight="1" x14ac:dyDescent="0.25">
      <c r="A640" s="174"/>
      <c r="B640" s="174"/>
      <c r="C640" s="174"/>
      <c r="D640" s="174">
        <v>3213</v>
      </c>
      <c r="E640" s="174"/>
      <c r="F640" s="44"/>
      <c r="G640" s="181"/>
      <c r="H640" s="38" t="s">
        <v>26</v>
      </c>
      <c r="I640" s="282"/>
      <c r="J640" s="282"/>
      <c r="K640" s="282"/>
      <c r="L640" s="31"/>
      <c r="M640" s="31"/>
      <c r="N640" s="410"/>
      <c r="O640" s="196"/>
    </row>
    <row r="641" spans="1:18" ht="20.100000000000001" hidden="1" customHeight="1" x14ac:dyDescent="0.25">
      <c r="A641" s="174"/>
      <c r="B641" s="174"/>
      <c r="C641" s="174"/>
      <c r="D641" s="174"/>
      <c r="E641" s="171" t="s">
        <v>108</v>
      </c>
      <c r="F641" s="38"/>
      <c r="G641" s="181"/>
      <c r="H641" s="38" t="s">
        <v>109</v>
      </c>
      <c r="I641" s="282"/>
      <c r="J641" s="282"/>
      <c r="K641" s="282"/>
      <c r="L641" s="31"/>
      <c r="M641" s="31"/>
      <c r="N641" s="410"/>
      <c r="O641" s="196"/>
    </row>
    <row r="642" spans="1:18" ht="20.100000000000001" hidden="1" customHeight="1" x14ac:dyDescent="0.25">
      <c r="A642" s="174"/>
      <c r="B642" s="174"/>
      <c r="C642" s="174"/>
      <c r="D642" s="174"/>
      <c r="E642" s="171"/>
      <c r="F642" s="38" t="s">
        <v>110</v>
      </c>
      <c r="G642" s="181"/>
      <c r="H642" s="38" t="s">
        <v>319</v>
      </c>
      <c r="I642" s="282"/>
      <c r="J642" s="282"/>
      <c r="K642" s="282"/>
      <c r="L642" s="31"/>
      <c r="M642" s="31"/>
      <c r="N642" s="410"/>
      <c r="O642" s="196"/>
    </row>
    <row r="643" spans="1:18" ht="20.100000000000001" hidden="1" customHeight="1" x14ac:dyDescent="0.25">
      <c r="A643" s="174"/>
      <c r="B643" s="174"/>
      <c r="C643" s="174"/>
      <c r="D643" s="174"/>
      <c r="E643" s="171"/>
      <c r="F643" s="38" t="s">
        <v>112</v>
      </c>
      <c r="G643" s="181"/>
      <c r="H643" s="38" t="s">
        <v>320</v>
      </c>
      <c r="I643" s="282"/>
      <c r="J643" s="282"/>
      <c r="K643" s="282"/>
      <c r="L643" s="31"/>
      <c r="M643" s="31"/>
      <c r="N643" s="410"/>
      <c r="O643" s="196"/>
    </row>
    <row r="644" spans="1:18" ht="20.100000000000001" hidden="1" customHeight="1" x14ac:dyDescent="0.25">
      <c r="A644" s="174"/>
      <c r="B644" s="174"/>
      <c r="C644" s="174"/>
      <c r="D644" s="174"/>
      <c r="E644" s="171" t="s">
        <v>114</v>
      </c>
      <c r="F644" s="38"/>
      <c r="G644" s="181"/>
      <c r="H644" s="38" t="s">
        <v>115</v>
      </c>
      <c r="I644" s="282"/>
      <c r="J644" s="282"/>
      <c r="K644" s="282"/>
      <c r="L644" s="31"/>
      <c r="M644" s="31"/>
      <c r="N644" s="410"/>
      <c r="O644" s="196"/>
    </row>
    <row r="645" spans="1:18" ht="20.100000000000001" hidden="1" customHeight="1" x14ac:dyDescent="0.25">
      <c r="A645" s="174"/>
      <c r="B645" s="174"/>
      <c r="C645" s="174"/>
      <c r="D645" s="174"/>
      <c r="E645" s="171"/>
      <c r="F645" s="38" t="s">
        <v>116</v>
      </c>
      <c r="G645" s="181"/>
      <c r="H645" s="38" t="s">
        <v>115</v>
      </c>
      <c r="I645" s="282"/>
      <c r="J645" s="282"/>
      <c r="K645" s="282"/>
      <c r="L645" s="31"/>
      <c r="M645" s="31"/>
      <c r="N645" s="410"/>
      <c r="O645" s="196"/>
    </row>
    <row r="646" spans="1:18" s="150" customFormat="1" ht="20.100000000000001" hidden="1" customHeight="1" x14ac:dyDescent="0.25">
      <c r="A646" s="176"/>
      <c r="B646" s="176"/>
      <c r="C646" s="172">
        <v>322</v>
      </c>
      <c r="D646" s="172"/>
      <c r="E646" s="172"/>
      <c r="F646" s="42"/>
      <c r="G646" s="181" t="s">
        <v>466</v>
      </c>
      <c r="H646" s="43" t="s">
        <v>27</v>
      </c>
      <c r="I646" s="281">
        <f>I647+I660+I665</f>
        <v>800</v>
      </c>
      <c r="J646" s="281">
        <f>J647+J660+J665</f>
        <v>0</v>
      </c>
      <c r="K646" s="281">
        <f>K647+K660+K665</f>
        <v>800</v>
      </c>
      <c r="L646" s="148">
        <f>L647+L660+L665</f>
        <v>10500</v>
      </c>
      <c r="M646" s="148">
        <f>M647+M660+M665</f>
        <v>12500</v>
      </c>
      <c r="N646" s="410"/>
      <c r="O646" s="196"/>
      <c r="P646" s="270"/>
      <c r="Q646" s="149"/>
      <c r="R646" s="149"/>
    </row>
    <row r="647" spans="1:18" ht="20.100000000000001" hidden="1" customHeight="1" x14ac:dyDescent="0.25">
      <c r="A647" s="174"/>
      <c r="B647" s="174"/>
      <c r="C647" s="174"/>
      <c r="D647" s="174">
        <v>3221</v>
      </c>
      <c r="E647" s="174"/>
      <c r="F647" s="44"/>
      <c r="G647" s="181" t="s">
        <v>466</v>
      </c>
      <c r="H647" s="38" t="s">
        <v>117</v>
      </c>
      <c r="I647" s="282">
        <f>I658+I655</f>
        <v>110</v>
      </c>
      <c r="J647" s="282">
        <f>J658+J655</f>
        <v>0</v>
      </c>
      <c r="K647" s="282">
        <f>K658+K655</f>
        <v>110</v>
      </c>
      <c r="L647" s="39">
        <f t="shared" ref="L647:M647" si="112">L658+L655</f>
        <v>1000</v>
      </c>
      <c r="M647" s="39">
        <f t="shared" si="112"/>
        <v>1000</v>
      </c>
      <c r="N647" s="410"/>
      <c r="O647" s="196"/>
      <c r="P647" s="68"/>
    </row>
    <row r="648" spans="1:18" ht="20.100000000000001" hidden="1" customHeight="1" x14ac:dyDescent="0.25">
      <c r="A648" s="174"/>
      <c r="B648" s="174"/>
      <c r="C648" s="174"/>
      <c r="D648" s="174"/>
      <c r="E648" s="171" t="s">
        <v>118</v>
      </c>
      <c r="F648" s="38"/>
      <c r="G648" s="181" t="s">
        <v>466</v>
      </c>
      <c r="H648" s="38" t="s">
        <v>117</v>
      </c>
      <c r="I648" s="282"/>
      <c r="J648" s="282"/>
      <c r="K648" s="282"/>
      <c r="L648" s="34"/>
      <c r="M648" s="34"/>
      <c r="N648" s="410"/>
      <c r="O648" s="196"/>
    </row>
    <row r="649" spans="1:18" ht="20.100000000000001" hidden="1" customHeight="1" x14ac:dyDescent="0.25">
      <c r="A649" s="174"/>
      <c r="B649" s="174"/>
      <c r="C649" s="174"/>
      <c r="D649" s="174"/>
      <c r="E649" s="171"/>
      <c r="F649" s="38" t="s">
        <v>120</v>
      </c>
      <c r="G649" s="181" t="s">
        <v>466</v>
      </c>
      <c r="H649" s="38" t="s">
        <v>117</v>
      </c>
      <c r="I649" s="282"/>
      <c r="J649" s="282"/>
      <c r="K649" s="282"/>
      <c r="L649" s="34"/>
      <c r="M649" s="34"/>
      <c r="N649" s="410"/>
      <c r="O649" s="196"/>
    </row>
    <row r="650" spans="1:18" ht="20.100000000000001" hidden="1" customHeight="1" x14ac:dyDescent="0.25">
      <c r="A650" s="174"/>
      <c r="B650" s="174"/>
      <c r="C650" s="174"/>
      <c r="D650" s="174"/>
      <c r="E650" s="171"/>
      <c r="F650" s="38" t="s">
        <v>121</v>
      </c>
      <c r="G650" s="181" t="s">
        <v>466</v>
      </c>
      <c r="H650" s="38" t="s">
        <v>117</v>
      </c>
      <c r="I650" s="282"/>
      <c r="J650" s="282"/>
      <c r="K650" s="282"/>
      <c r="L650" s="34"/>
      <c r="M650" s="34"/>
      <c r="N650" s="410"/>
      <c r="O650" s="196"/>
    </row>
    <row r="651" spans="1:18" ht="20.100000000000001" hidden="1" customHeight="1" x14ac:dyDescent="0.25">
      <c r="A651" s="174"/>
      <c r="B651" s="174"/>
      <c r="C651" s="174"/>
      <c r="D651" s="174"/>
      <c r="E651" s="171" t="s">
        <v>123</v>
      </c>
      <c r="F651" s="38"/>
      <c r="G651" s="181" t="s">
        <v>466</v>
      </c>
      <c r="H651" s="38" t="s">
        <v>117</v>
      </c>
      <c r="I651" s="282"/>
      <c r="J651" s="282"/>
      <c r="K651" s="282"/>
      <c r="L651" s="34"/>
      <c r="M651" s="34"/>
      <c r="N651" s="410"/>
      <c r="O651" s="196"/>
    </row>
    <row r="652" spans="1:18" ht="20.100000000000001" hidden="1" customHeight="1" x14ac:dyDescent="0.25">
      <c r="A652" s="174"/>
      <c r="B652" s="174"/>
      <c r="C652" s="174"/>
      <c r="D652" s="174"/>
      <c r="E652" s="171"/>
      <c r="F652" s="38" t="s">
        <v>125</v>
      </c>
      <c r="G652" s="181" t="s">
        <v>466</v>
      </c>
      <c r="H652" s="38" t="s">
        <v>117</v>
      </c>
      <c r="I652" s="282"/>
      <c r="J652" s="282"/>
      <c r="K652" s="282"/>
      <c r="L652" s="34"/>
      <c r="M652" s="34"/>
      <c r="N652" s="410"/>
      <c r="O652" s="196"/>
    </row>
    <row r="653" spans="1:18" ht="20.100000000000001" hidden="1" customHeight="1" x14ac:dyDescent="0.25">
      <c r="A653" s="174"/>
      <c r="B653" s="174"/>
      <c r="C653" s="174"/>
      <c r="D653" s="174"/>
      <c r="E653" s="171" t="s">
        <v>126</v>
      </c>
      <c r="F653" s="38"/>
      <c r="G653" s="181" t="s">
        <v>466</v>
      </c>
      <c r="H653" s="38" t="s">
        <v>117</v>
      </c>
      <c r="I653" s="282"/>
      <c r="J653" s="282"/>
      <c r="K653" s="282"/>
      <c r="L653" s="34"/>
      <c r="M653" s="34"/>
      <c r="N653" s="410"/>
      <c r="O653" s="196"/>
    </row>
    <row r="654" spans="1:18" ht="20.100000000000001" hidden="1" customHeight="1" x14ac:dyDescent="0.25">
      <c r="A654" s="174"/>
      <c r="B654" s="174"/>
      <c r="C654" s="174"/>
      <c r="D654" s="174"/>
      <c r="E654" s="171"/>
      <c r="F654" s="38" t="s">
        <v>128</v>
      </c>
      <c r="G654" s="181" t="s">
        <v>466</v>
      </c>
      <c r="H654" s="38" t="s">
        <v>117</v>
      </c>
      <c r="I654" s="282"/>
      <c r="J654" s="282"/>
      <c r="K654" s="282"/>
      <c r="L654" s="34"/>
      <c r="M654" s="34"/>
      <c r="N654" s="410"/>
      <c r="O654" s="196"/>
    </row>
    <row r="655" spans="1:18" ht="20.100000000000001" hidden="1" customHeight="1" x14ac:dyDescent="0.25">
      <c r="A655" s="174"/>
      <c r="B655" s="174"/>
      <c r="C655" s="174"/>
      <c r="D655" s="174"/>
      <c r="E655" s="171" t="s">
        <v>118</v>
      </c>
      <c r="F655" s="38"/>
      <c r="G655" s="181" t="s">
        <v>466</v>
      </c>
      <c r="H655" s="38" t="s">
        <v>375</v>
      </c>
      <c r="I655" s="282">
        <f>I656+I657</f>
        <v>70</v>
      </c>
      <c r="J655" s="282">
        <f>J656+J657</f>
        <v>0</v>
      </c>
      <c r="K655" s="282">
        <f>K656+K657</f>
        <v>70</v>
      </c>
      <c r="L655" s="39">
        <f t="shared" ref="L655:M655" si="113">L656+L657</f>
        <v>500</v>
      </c>
      <c r="M655" s="39">
        <f t="shared" si="113"/>
        <v>500</v>
      </c>
      <c r="N655" s="410"/>
      <c r="O655" s="196"/>
      <c r="Q655" s="194"/>
      <c r="R655" s="194"/>
    </row>
    <row r="656" spans="1:18" ht="20.100000000000001" hidden="1" customHeight="1" x14ac:dyDescent="0.25">
      <c r="A656" s="174"/>
      <c r="B656" s="174"/>
      <c r="C656" s="174"/>
      <c r="D656" s="174"/>
      <c r="E656" s="171"/>
      <c r="F656" s="38" t="s">
        <v>120</v>
      </c>
      <c r="G656" s="181" t="s">
        <v>466</v>
      </c>
      <c r="H656" s="38" t="s">
        <v>375</v>
      </c>
      <c r="I656" s="282">
        <v>40</v>
      </c>
      <c r="J656" s="282">
        <f>K656-I656</f>
        <v>0</v>
      </c>
      <c r="K656" s="282">
        <v>40</v>
      </c>
      <c r="L656" s="34">
        <v>250</v>
      </c>
      <c r="M656" s="34">
        <v>250</v>
      </c>
      <c r="N656" s="410"/>
      <c r="O656" s="196"/>
      <c r="Q656" s="194"/>
      <c r="R656" s="194"/>
    </row>
    <row r="657" spans="1:18" ht="20.100000000000001" hidden="1" customHeight="1" x14ac:dyDescent="0.25">
      <c r="A657" s="174"/>
      <c r="B657" s="174"/>
      <c r="C657" s="174"/>
      <c r="D657" s="174"/>
      <c r="E657" s="171"/>
      <c r="F657" s="38" t="s">
        <v>121</v>
      </c>
      <c r="G657" s="181" t="s">
        <v>466</v>
      </c>
      <c r="H657" s="38" t="s">
        <v>321</v>
      </c>
      <c r="I657" s="282">
        <v>30</v>
      </c>
      <c r="J657" s="282">
        <f>K657-I657</f>
        <v>0</v>
      </c>
      <c r="K657" s="282">
        <v>30</v>
      </c>
      <c r="L657" s="34">
        <v>250</v>
      </c>
      <c r="M657" s="34">
        <v>250</v>
      </c>
      <c r="N657" s="410"/>
      <c r="O657" s="196"/>
      <c r="Q657" s="194"/>
      <c r="R657" s="194"/>
    </row>
    <row r="658" spans="1:18" ht="20.100000000000001" hidden="1" customHeight="1" x14ac:dyDescent="0.25">
      <c r="A658" s="174"/>
      <c r="B658" s="174"/>
      <c r="C658" s="174"/>
      <c r="D658" s="174"/>
      <c r="E658" s="171" t="s">
        <v>129</v>
      </c>
      <c r="F658" s="38"/>
      <c r="G658" s="181" t="s">
        <v>466</v>
      </c>
      <c r="H658" s="38" t="s">
        <v>130</v>
      </c>
      <c r="I658" s="282">
        <f>I659</f>
        <v>40</v>
      </c>
      <c r="J658" s="282">
        <f>J659</f>
        <v>0</v>
      </c>
      <c r="K658" s="282">
        <f>K659</f>
        <v>40</v>
      </c>
      <c r="L658" s="34">
        <f>L659</f>
        <v>500</v>
      </c>
      <c r="M658" s="34">
        <f>M659</f>
        <v>500</v>
      </c>
      <c r="N658" s="410"/>
      <c r="O658" s="196"/>
      <c r="Q658" s="194"/>
      <c r="R658" s="194"/>
    </row>
    <row r="659" spans="1:18" ht="20.100000000000001" hidden="1" customHeight="1" x14ac:dyDescent="0.25">
      <c r="A659" s="174"/>
      <c r="B659" s="174"/>
      <c r="C659" s="174"/>
      <c r="D659" s="174"/>
      <c r="E659" s="171"/>
      <c r="F659" s="38" t="s">
        <v>131</v>
      </c>
      <c r="G659" s="181" t="s">
        <v>466</v>
      </c>
      <c r="H659" s="38" t="s">
        <v>130</v>
      </c>
      <c r="I659" s="282">
        <v>40</v>
      </c>
      <c r="J659" s="282">
        <f>K659-I659</f>
        <v>0</v>
      </c>
      <c r="K659" s="282">
        <v>40</v>
      </c>
      <c r="L659" s="34">
        <v>500</v>
      </c>
      <c r="M659" s="34">
        <v>500</v>
      </c>
      <c r="N659" s="410"/>
      <c r="O659" s="196"/>
      <c r="Q659" s="194"/>
      <c r="R659" s="194"/>
    </row>
    <row r="660" spans="1:18" ht="20.100000000000001" hidden="1" customHeight="1" x14ac:dyDescent="0.25">
      <c r="A660" s="174"/>
      <c r="B660" s="174"/>
      <c r="C660" s="174"/>
      <c r="D660" s="174">
        <v>3222</v>
      </c>
      <c r="E660" s="174"/>
      <c r="F660" s="44"/>
      <c r="G660" s="181" t="s">
        <v>466</v>
      </c>
      <c r="H660" s="38" t="s">
        <v>29</v>
      </c>
      <c r="I660" s="282">
        <f>I661+I663</f>
        <v>210</v>
      </c>
      <c r="J660" s="282">
        <f>J661+J663</f>
        <v>0</v>
      </c>
      <c r="K660" s="282">
        <f>K661+K663</f>
        <v>210</v>
      </c>
      <c r="L660" s="34">
        <f>L661+L663</f>
        <v>2500</v>
      </c>
      <c r="M660" s="34">
        <f>M661+M663</f>
        <v>4500</v>
      </c>
      <c r="N660" s="410"/>
      <c r="O660" s="196"/>
      <c r="Q660" s="194"/>
      <c r="R660" s="194"/>
    </row>
    <row r="661" spans="1:18" ht="20.100000000000001" hidden="1" customHeight="1" x14ac:dyDescent="0.25">
      <c r="A661" s="174"/>
      <c r="B661" s="174"/>
      <c r="C661" s="174"/>
      <c r="D661" s="174"/>
      <c r="E661" s="171" t="s">
        <v>135</v>
      </c>
      <c r="F661" s="38"/>
      <c r="G661" s="181" t="s">
        <v>466</v>
      </c>
      <c r="H661" s="38" t="s">
        <v>136</v>
      </c>
      <c r="I661" s="282">
        <f>I662</f>
        <v>90</v>
      </c>
      <c r="J661" s="282">
        <f>J662</f>
        <v>0</v>
      </c>
      <c r="K661" s="282">
        <f>K662</f>
        <v>90</v>
      </c>
      <c r="L661" s="34">
        <f>L662</f>
        <v>0</v>
      </c>
      <c r="M661" s="34">
        <f>M662</f>
        <v>1000</v>
      </c>
      <c r="N661" s="410"/>
      <c r="O661" s="196"/>
      <c r="Q661" s="194"/>
      <c r="R661" s="194"/>
    </row>
    <row r="662" spans="1:18" ht="20.100000000000001" hidden="1" customHeight="1" x14ac:dyDescent="0.25">
      <c r="A662" s="174"/>
      <c r="B662" s="174"/>
      <c r="C662" s="174"/>
      <c r="D662" s="174"/>
      <c r="E662" s="171"/>
      <c r="F662" s="38" t="s">
        <v>137</v>
      </c>
      <c r="G662" s="181" t="s">
        <v>466</v>
      </c>
      <c r="H662" s="38" t="s">
        <v>136</v>
      </c>
      <c r="I662" s="282">
        <v>90</v>
      </c>
      <c r="J662" s="282">
        <f>K662-I662</f>
        <v>0</v>
      </c>
      <c r="K662" s="282">
        <v>90</v>
      </c>
      <c r="L662" s="34">
        <v>0</v>
      </c>
      <c r="M662" s="34">
        <v>1000</v>
      </c>
      <c r="N662" s="410"/>
      <c r="O662" s="196"/>
      <c r="Q662" s="194"/>
      <c r="R662" s="194"/>
    </row>
    <row r="663" spans="1:18" ht="20.100000000000001" hidden="1" customHeight="1" x14ac:dyDescent="0.25">
      <c r="A663" s="174"/>
      <c r="B663" s="174"/>
      <c r="C663" s="174"/>
      <c r="D663" s="174"/>
      <c r="E663" s="171" t="s">
        <v>138</v>
      </c>
      <c r="F663" s="38"/>
      <c r="G663" s="181" t="s">
        <v>466</v>
      </c>
      <c r="H663" s="38" t="s">
        <v>139</v>
      </c>
      <c r="I663" s="282">
        <f>I664</f>
        <v>120</v>
      </c>
      <c r="J663" s="282">
        <f>J664</f>
        <v>0</v>
      </c>
      <c r="K663" s="282">
        <f>K664</f>
        <v>120</v>
      </c>
      <c r="L663" s="34">
        <f>L664</f>
        <v>2500</v>
      </c>
      <c r="M663" s="34">
        <f>M664</f>
        <v>3500</v>
      </c>
      <c r="N663" s="410"/>
      <c r="O663" s="196"/>
      <c r="P663" s="68"/>
      <c r="Q663" s="194"/>
      <c r="R663" s="194"/>
    </row>
    <row r="664" spans="1:18" ht="20.100000000000001" hidden="1" customHeight="1" x14ac:dyDescent="0.25">
      <c r="A664" s="174"/>
      <c r="B664" s="174"/>
      <c r="C664" s="174"/>
      <c r="D664" s="174"/>
      <c r="E664" s="171"/>
      <c r="F664" s="38" t="s">
        <v>140</v>
      </c>
      <c r="G664" s="181" t="s">
        <v>466</v>
      </c>
      <c r="H664" s="38" t="s">
        <v>139</v>
      </c>
      <c r="I664" s="282">
        <v>120</v>
      </c>
      <c r="J664" s="282">
        <f>K664-I664</f>
        <v>0</v>
      </c>
      <c r="K664" s="282">
        <v>120</v>
      </c>
      <c r="L664" s="34">
        <v>2500</v>
      </c>
      <c r="M664" s="34">
        <v>3500</v>
      </c>
      <c r="N664" s="410"/>
      <c r="O664" s="196"/>
      <c r="P664" s="68"/>
      <c r="Q664" s="194"/>
      <c r="R664" s="194"/>
    </row>
    <row r="665" spans="1:18" ht="20.100000000000001" hidden="1" customHeight="1" x14ac:dyDescent="0.25">
      <c r="A665" s="174"/>
      <c r="B665" s="174"/>
      <c r="C665" s="174"/>
      <c r="D665" s="175">
        <v>3223</v>
      </c>
      <c r="E665" s="175"/>
      <c r="F665" s="56"/>
      <c r="G665" s="181" t="s">
        <v>466</v>
      </c>
      <c r="H665" s="53" t="s">
        <v>30</v>
      </c>
      <c r="I665" s="282">
        <f>I666+I669</f>
        <v>480</v>
      </c>
      <c r="J665" s="282">
        <f>J666+J669</f>
        <v>0</v>
      </c>
      <c r="K665" s="282">
        <f>K666+K669</f>
        <v>480</v>
      </c>
      <c r="L665" s="34">
        <f>L666+L669</f>
        <v>7000</v>
      </c>
      <c r="M665" s="34">
        <f>M666+M669</f>
        <v>7000</v>
      </c>
      <c r="N665" s="410"/>
      <c r="O665" s="196"/>
      <c r="Q665" s="194"/>
      <c r="R665" s="194"/>
    </row>
    <row r="666" spans="1:18" ht="20.100000000000001" hidden="1" customHeight="1" x14ac:dyDescent="0.25">
      <c r="A666" s="174"/>
      <c r="B666" s="174"/>
      <c r="C666" s="174"/>
      <c r="D666" s="175"/>
      <c r="E666" s="171" t="s">
        <v>141</v>
      </c>
      <c r="F666" s="38"/>
      <c r="G666" s="181" t="s">
        <v>466</v>
      </c>
      <c r="H666" s="38" t="s">
        <v>142</v>
      </c>
      <c r="I666" s="282">
        <f>I667+I668</f>
        <v>320</v>
      </c>
      <c r="J666" s="282">
        <f>J667+J668</f>
        <v>0</v>
      </c>
      <c r="K666" s="282">
        <f>K667+K668</f>
        <v>320</v>
      </c>
      <c r="L666" s="34">
        <f>L667+L668</f>
        <v>4000</v>
      </c>
      <c r="M666" s="34">
        <f>M667+M668</f>
        <v>4000</v>
      </c>
      <c r="N666" s="410"/>
      <c r="O666" s="196"/>
      <c r="Q666" s="194"/>
      <c r="R666" s="194"/>
    </row>
    <row r="667" spans="1:18" ht="20.100000000000001" hidden="1" customHeight="1" x14ac:dyDescent="0.25">
      <c r="A667" s="174"/>
      <c r="B667" s="174"/>
      <c r="C667" s="174"/>
      <c r="D667" s="175"/>
      <c r="E667" s="171"/>
      <c r="F667" s="38" t="s">
        <v>143</v>
      </c>
      <c r="G667" s="181" t="s">
        <v>466</v>
      </c>
      <c r="H667" s="38" t="s">
        <v>142</v>
      </c>
      <c r="I667" s="282">
        <v>160</v>
      </c>
      <c r="J667" s="282">
        <f>K667-I667</f>
        <v>0</v>
      </c>
      <c r="K667" s="282">
        <v>160</v>
      </c>
      <c r="L667" s="34">
        <v>2000</v>
      </c>
      <c r="M667" s="34">
        <v>2000</v>
      </c>
      <c r="N667" s="410"/>
      <c r="O667" s="196"/>
      <c r="Q667" s="194"/>
      <c r="R667" s="194"/>
    </row>
    <row r="668" spans="1:18" ht="20.100000000000001" hidden="1" customHeight="1" x14ac:dyDescent="0.25">
      <c r="A668" s="174"/>
      <c r="B668" s="174"/>
      <c r="C668" s="174"/>
      <c r="D668" s="175"/>
      <c r="E668" s="171"/>
      <c r="F668" s="38" t="s">
        <v>144</v>
      </c>
      <c r="G668" s="181" t="s">
        <v>466</v>
      </c>
      <c r="H668" s="38" t="s">
        <v>322</v>
      </c>
      <c r="I668" s="282">
        <v>160</v>
      </c>
      <c r="J668" s="282">
        <f>K668-I668</f>
        <v>0</v>
      </c>
      <c r="K668" s="282">
        <v>160</v>
      </c>
      <c r="L668" s="34">
        <v>2000</v>
      </c>
      <c r="M668" s="34">
        <v>2000</v>
      </c>
      <c r="N668" s="410"/>
      <c r="O668" s="196"/>
      <c r="Q668" s="194"/>
      <c r="R668" s="194"/>
    </row>
    <row r="669" spans="1:18" ht="20.100000000000001" hidden="1" customHeight="1" x14ac:dyDescent="0.25">
      <c r="A669" s="174"/>
      <c r="B669" s="174"/>
      <c r="C669" s="174"/>
      <c r="D669" s="175"/>
      <c r="E669" s="171" t="s">
        <v>146</v>
      </c>
      <c r="F669" s="38"/>
      <c r="G669" s="181" t="s">
        <v>466</v>
      </c>
      <c r="H669" s="38" t="s">
        <v>147</v>
      </c>
      <c r="I669" s="282">
        <f>I670</f>
        <v>160</v>
      </c>
      <c r="J669" s="282">
        <f>J670</f>
        <v>0</v>
      </c>
      <c r="K669" s="282">
        <f>K670</f>
        <v>160</v>
      </c>
      <c r="L669" s="34">
        <f>L670</f>
        <v>3000</v>
      </c>
      <c r="M669" s="34">
        <f>M670</f>
        <v>3000</v>
      </c>
      <c r="N669" s="410"/>
      <c r="O669" s="196"/>
      <c r="Q669" s="194"/>
      <c r="R669" s="194"/>
    </row>
    <row r="670" spans="1:18" ht="20.100000000000001" hidden="1" customHeight="1" x14ac:dyDescent="0.25">
      <c r="A670" s="174"/>
      <c r="B670" s="174"/>
      <c r="C670" s="174"/>
      <c r="D670" s="175"/>
      <c r="E670" s="171"/>
      <c r="F670" s="38" t="s">
        <v>148</v>
      </c>
      <c r="G670" s="181" t="s">
        <v>466</v>
      </c>
      <c r="H670" s="38" t="s">
        <v>147</v>
      </c>
      <c r="I670" s="282">
        <v>160</v>
      </c>
      <c r="J670" s="282">
        <f>K670-I670</f>
        <v>0</v>
      </c>
      <c r="K670" s="282">
        <v>160</v>
      </c>
      <c r="L670" s="34">
        <v>3000</v>
      </c>
      <c r="M670" s="34">
        <v>3000</v>
      </c>
      <c r="N670" s="410"/>
      <c r="O670" s="196"/>
      <c r="Q670" s="194"/>
      <c r="R670" s="194"/>
    </row>
    <row r="671" spans="1:18" ht="20.100000000000001" hidden="1" customHeight="1" x14ac:dyDescent="0.25">
      <c r="A671" s="174"/>
      <c r="B671" s="174"/>
      <c r="C671" s="174"/>
      <c r="D671" s="175"/>
      <c r="E671" s="171" t="s">
        <v>149</v>
      </c>
      <c r="F671" s="38"/>
      <c r="G671" s="181" t="s">
        <v>466</v>
      </c>
      <c r="H671" s="38" t="s">
        <v>150</v>
      </c>
      <c r="I671" s="282"/>
      <c r="J671" s="282"/>
      <c r="K671" s="282"/>
      <c r="L671" s="31"/>
      <c r="M671" s="31"/>
      <c r="N671" s="410"/>
      <c r="O671" s="196"/>
    </row>
    <row r="672" spans="1:18" ht="20.100000000000001" hidden="1" customHeight="1" x14ac:dyDescent="0.25">
      <c r="A672" s="174"/>
      <c r="B672" s="174"/>
      <c r="C672" s="174"/>
      <c r="D672" s="175"/>
      <c r="E672" s="171"/>
      <c r="F672" s="38" t="s">
        <v>151</v>
      </c>
      <c r="G672" s="181" t="s">
        <v>466</v>
      </c>
      <c r="H672" s="38" t="s">
        <v>150</v>
      </c>
      <c r="I672" s="282"/>
      <c r="J672" s="282"/>
      <c r="K672" s="282"/>
      <c r="L672" s="31"/>
      <c r="M672" s="31"/>
      <c r="N672" s="410"/>
      <c r="O672" s="196"/>
    </row>
    <row r="673" spans="1:18" s="150" customFormat="1" ht="20.100000000000001" hidden="1" customHeight="1" x14ac:dyDescent="0.25">
      <c r="A673" s="176"/>
      <c r="B673" s="176"/>
      <c r="C673" s="172">
        <v>323</v>
      </c>
      <c r="D673" s="172"/>
      <c r="E673" s="172"/>
      <c r="F673" s="42"/>
      <c r="G673" s="181" t="s">
        <v>466</v>
      </c>
      <c r="H673" s="43" t="s">
        <v>34</v>
      </c>
      <c r="I673" s="281">
        <f>I677+I685+I688+I674</f>
        <v>400</v>
      </c>
      <c r="J673" s="281">
        <f>J677+J685+J688+J674</f>
        <v>0</v>
      </c>
      <c r="K673" s="281">
        <f>K677+K685+K688+K674</f>
        <v>400</v>
      </c>
      <c r="L673" s="151">
        <f t="shared" ref="L673:M673" si="114">L677+L685+L688+L674</f>
        <v>4600</v>
      </c>
      <c r="M673" s="151">
        <f t="shared" si="114"/>
        <v>7800</v>
      </c>
      <c r="N673" s="410"/>
      <c r="O673" s="196"/>
      <c r="P673" s="270"/>
      <c r="Q673" s="155"/>
      <c r="R673" s="149"/>
    </row>
    <row r="674" spans="1:18" s="21" customFormat="1" ht="20.100000000000001" hidden="1" customHeight="1" x14ac:dyDescent="0.25">
      <c r="A674" s="172"/>
      <c r="B674" s="172"/>
      <c r="C674" s="172"/>
      <c r="D674" s="174">
        <v>3232</v>
      </c>
      <c r="E674" s="174"/>
      <c r="F674" s="44"/>
      <c r="G674" s="181" t="s">
        <v>466</v>
      </c>
      <c r="H674" s="38" t="s">
        <v>36</v>
      </c>
      <c r="I674" s="282">
        <f t="shared" ref="I674:M675" si="115">I675</f>
        <v>40</v>
      </c>
      <c r="J674" s="282">
        <f t="shared" si="115"/>
        <v>0</v>
      </c>
      <c r="K674" s="282">
        <f t="shared" si="115"/>
        <v>40</v>
      </c>
      <c r="L674" s="39">
        <f t="shared" si="115"/>
        <v>1800</v>
      </c>
      <c r="M674" s="39">
        <f t="shared" si="115"/>
        <v>5000</v>
      </c>
      <c r="N674" s="410"/>
      <c r="O674" s="196"/>
      <c r="P674" s="270"/>
      <c r="Q674" s="29"/>
      <c r="R674" s="20"/>
    </row>
    <row r="675" spans="1:18" s="21" customFormat="1" ht="30" hidden="1" customHeight="1" x14ac:dyDescent="0.25">
      <c r="A675" s="172"/>
      <c r="B675" s="172"/>
      <c r="C675" s="172"/>
      <c r="D675" s="174"/>
      <c r="E675" s="174">
        <v>32322</v>
      </c>
      <c r="F675" s="44"/>
      <c r="G675" s="181" t="s">
        <v>466</v>
      </c>
      <c r="H675" s="38" t="s">
        <v>374</v>
      </c>
      <c r="I675" s="282">
        <f t="shared" si="115"/>
        <v>40</v>
      </c>
      <c r="J675" s="282">
        <f t="shared" si="115"/>
        <v>0</v>
      </c>
      <c r="K675" s="282">
        <f t="shared" si="115"/>
        <v>40</v>
      </c>
      <c r="L675" s="39">
        <f t="shared" si="115"/>
        <v>1800</v>
      </c>
      <c r="M675" s="39">
        <f t="shared" si="115"/>
        <v>5000</v>
      </c>
      <c r="N675" s="410"/>
      <c r="O675" s="196"/>
      <c r="P675" s="270"/>
      <c r="Q675" s="29"/>
      <c r="R675" s="20"/>
    </row>
    <row r="676" spans="1:18" s="21" customFormat="1" ht="30" hidden="1" customHeight="1" x14ac:dyDescent="0.25">
      <c r="A676" s="172"/>
      <c r="B676" s="172"/>
      <c r="C676" s="172"/>
      <c r="D676" s="174"/>
      <c r="E676" s="174"/>
      <c r="F676" s="44">
        <v>323220</v>
      </c>
      <c r="G676" s="181" t="s">
        <v>466</v>
      </c>
      <c r="H676" s="38" t="s">
        <v>374</v>
      </c>
      <c r="I676" s="282">
        <v>40</v>
      </c>
      <c r="J676" s="282">
        <f>K676-I676</f>
        <v>0</v>
      </c>
      <c r="K676" s="282">
        <v>40</v>
      </c>
      <c r="L676" s="34">
        <v>1800</v>
      </c>
      <c r="M676" s="34">
        <v>5000</v>
      </c>
      <c r="N676" s="410"/>
      <c r="O676" s="196"/>
      <c r="P676" s="270"/>
      <c r="Q676" s="29"/>
      <c r="R676" s="20"/>
    </row>
    <row r="677" spans="1:18" ht="20.100000000000001" hidden="1" customHeight="1" x14ac:dyDescent="0.25">
      <c r="A677" s="174"/>
      <c r="B677" s="174"/>
      <c r="C677" s="174"/>
      <c r="D677" s="174">
        <v>3233</v>
      </c>
      <c r="E677" s="174"/>
      <c r="F677" s="44"/>
      <c r="G677" s="181" t="s">
        <v>466</v>
      </c>
      <c r="H677" s="38" t="s">
        <v>37</v>
      </c>
      <c r="I677" s="282">
        <f t="shared" ref="I677:M678" si="116">I678</f>
        <v>40</v>
      </c>
      <c r="J677" s="282">
        <f t="shared" si="116"/>
        <v>0</v>
      </c>
      <c r="K677" s="282">
        <f t="shared" si="116"/>
        <v>40</v>
      </c>
      <c r="L677" s="34">
        <f t="shared" si="116"/>
        <v>300</v>
      </c>
      <c r="M677" s="34">
        <f t="shared" si="116"/>
        <v>300</v>
      </c>
      <c r="N677" s="410"/>
      <c r="O677" s="196"/>
    </row>
    <row r="678" spans="1:18" ht="20.100000000000001" hidden="1" customHeight="1" x14ac:dyDescent="0.25">
      <c r="A678" s="174"/>
      <c r="B678" s="174"/>
      <c r="C678" s="174"/>
      <c r="D678" s="174"/>
      <c r="E678" s="171" t="s">
        <v>182</v>
      </c>
      <c r="F678" s="38"/>
      <c r="G678" s="181" t="s">
        <v>466</v>
      </c>
      <c r="H678" s="38" t="s">
        <v>37</v>
      </c>
      <c r="I678" s="282">
        <f t="shared" si="116"/>
        <v>40</v>
      </c>
      <c r="J678" s="282">
        <f t="shared" si="116"/>
        <v>0</v>
      </c>
      <c r="K678" s="282">
        <f t="shared" si="116"/>
        <v>40</v>
      </c>
      <c r="L678" s="34">
        <f t="shared" si="116"/>
        <v>300</v>
      </c>
      <c r="M678" s="34">
        <f t="shared" si="116"/>
        <v>300</v>
      </c>
      <c r="N678" s="410"/>
      <c r="O678" s="196"/>
    </row>
    <row r="679" spans="1:18" ht="20.100000000000001" hidden="1" customHeight="1" x14ac:dyDescent="0.25">
      <c r="A679" s="174"/>
      <c r="B679" s="174"/>
      <c r="C679" s="174"/>
      <c r="D679" s="174"/>
      <c r="E679" s="171"/>
      <c r="F679" s="38" t="s">
        <v>184</v>
      </c>
      <c r="G679" s="181" t="s">
        <v>466</v>
      </c>
      <c r="H679" s="38" t="s">
        <v>183</v>
      </c>
      <c r="I679" s="282">
        <v>40</v>
      </c>
      <c r="J679" s="282">
        <f>K679-I679</f>
        <v>0</v>
      </c>
      <c r="K679" s="282">
        <v>40</v>
      </c>
      <c r="L679" s="34">
        <v>300</v>
      </c>
      <c r="M679" s="34">
        <v>300</v>
      </c>
      <c r="N679" s="410"/>
      <c r="O679" s="196"/>
    </row>
    <row r="680" spans="1:18" ht="20.100000000000001" hidden="1" customHeight="1" x14ac:dyDescent="0.25">
      <c r="A680" s="174"/>
      <c r="B680" s="174"/>
      <c r="C680" s="174"/>
      <c r="D680" s="174">
        <v>3236</v>
      </c>
      <c r="E680" s="174"/>
      <c r="F680" s="44"/>
      <c r="G680" s="181" t="s">
        <v>466</v>
      </c>
      <c r="H680" s="38" t="s">
        <v>40</v>
      </c>
      <c r="I680" s="282"/>
      <c r="J680" s="282"/>
      <c r="K680" s="282"/>
      <c r="L680" s="34"/>
      <c r="M680" s="34"/>
      <c r="N680" s="410"/>
      <c r="O680" s="196"/>
    </row>
    <row r="681" spans="1:18" ht="20.100000000000001" hidden="1" customHeight="1" x14ac:dyDescent="0.25">
      <c r="A681" s="174"/>
      <c r="B681" s="174"/>
      <c r="C681" s="174"/>
      <c r="D681" s="174"/>
      <c r="E681" s="171" t="s">
        <v>202</v>
      </c>
      <c r="F681" s="38"/>
      <c r="G681" s="181" t="s">
        <v>466</v>
      </c>
      <c r="H681" s="38" t="s">
        <v>203</v>
      </c>
      <c r="I681" s="282"/>
      <c r="J681" s="282"/>
      <c r="K681" s="282"/>
      <c r="L681" s="34"/>
      <c r="M681" s="34"/>
      <c r="N681" s="410"/>
      <c r="O681" s="196"/>
    </row>
    <row r="682" spans="1:18" ht="20.100000000000001" hidden="1" customHeight="1" x14ac:dyDescent="0.25">
      <c r="A682" s="174"/>
      <c r="B682" s="174"/>
      <c r="C682" s="174"/>
      <c r="D682" s="174"/>
      <c r="E682" s="171"/>
      <c r="F682" s="38" t="s">
        <v>204</v>
      </c>
      <c r="G682" s="181" t="s">
        <v>466</v>
      </c>
      <c r="H682" s="38" t="s">
        <v>203</v>
      </c>
      <c r="I682" s="282"/>
      <c r="J682" s="282"/>
      <c r="K682" s="282"/>
      <c r="L682" s="34"/>
      <c r="M682" s="34"/>
      <c r="N682" s="410"/>
      <c r="O682" s="196"/>
    </row>
    <row r="683" spans="1:18" ht="20.100000000000001" hidden="1" customHeight="1" x14ac:dyDescent="0.25">
      <c r="A683" s="174"/>
      <c r="B683" s="174"/>
      <c r="C683" s="174"/>
      <c r="D683" s="174"/>
      <c r="E683" s="171" t="s">
        <v>205</v>
      </c>
      <c r="F683" s="38"/>
      <c r="G683" s="181" t="s">
        <v>466</v>
      </c>
      <c r="H683" s="38" t="s">
        <v>206</v>
      </c>
      <c r="I683" s="282"/>
      <c r="J683" s="282"/>
      <c r="K683" s="282"/>
      <c r="L683" s="34"/>
      <c r="M683" s="34"/>
      <c r="N683" s="410"/>
      <c r="O683" s="196"/>
    </row>
    <row r="684" spans="1:18" ht="20.100000000000001" hidden="1" customHeight="1" x14ac:dyDescent="0.25">
      <c r="A684" s="174"/>
      <c r="B684" s="174"/>
      <c r="C684" s="174"/>
      <c r="D684" s="174"/>
      <c r="E684" s="171"/>
      <c r="F684" s="38" t="s">
        <v>207</v>
      </c>
      <c r="G684" s="181" t="s">
        <v>466</v>
      </c>
      <c r="H684" s="38" t="s">
        <v>206</v>
      </c>
      <c r="I684" s="282"/>
      <c r="J684" s="282"/>
      <c r="K684" s="282"/>
      <c r="L684" s="34"/>
      <c r="M684" s="34"/>
      <c r="N684" s="410"/>
      <c r="O684" s="196"/>
    </row>
    <row r="685" spans="1:18" ht="20.100000000000001" hidden="1" customHeight="1" x14ac:dyDescent="0.25">
      <c r="A685" s="174"/>
      <c r="B685" s="174"/>
      <c r="C685" s="174"/>
      <c r="D685" s="175">
        <v>3238</v>
      </c>
      <c r="E685" s="175"/>
      <c r="F685" s="56"/>
      <c r="G685" s="181" t="s">
        <v>466</v>
      </c>
      <c r="H685" s="53" t="s">
        <v>41</v>
      </c>
      <c r="I685" s="282">
        <f t="shared" ref="I685:M686" si="117">I686</f>
        <v>160</v>
      </c>
      <c r="J685" s="282">
        <f t="shared" si="117"/>
        <v>0</v>
      </c>
      <c r="K685" s="282">
        <f t="shared" si="117"/>
        <v>160</v>
      </c>
      <c r="L685" s="34">
        <f t="shared" si="117"/>
        <v>1250</v>
      </c>
      <c r="M685" s="34">
        <f t="shared" si="117"/>
        <v>1250</v>
      </c>
      <c r="N685" s="410"/>
      <c r="O685" s="196"/>
    </row>
    <row r="686" spans="1:18" ht="20.100000000000001" hidden="1" customHeight="1" x14ac:dyDescent="0.25">
      <c r="A686" s="174"/>
      <c r="B686" s="174"/>
      <c r="C686" s="174"/>
      <c r="D686" s="175"/>
      <c r="E686" s="171" t="s">
        <v>219</v>
      </c>
      <c r="F686" s="38"/>
      <c r="G686" s="181" t="s">
        <v>466</v>
      </c>
      <c r="H686" s="38" t="s">
        <v>220</v>
      </c>
      <c r="I686" s="282">
        <f t="shared" si="117"/>
        <v>160</v>
      </c>
      <c r="J686" s="282">
        <f t="shared" si="117"/>
        <v>0</v>
      </c>
      <c r="K686" s="282">
        <f t="shared" si="117"/>
        <v>160</v>
      </c>
      <c r="L686" s="34">
        <f t="shared" si="117"/>
        <v>1250</v>
      </c>
      <c r="M686" s="34">
        <f t="shared" si="117"/>
        <v>1250</v>
      </c>
      <c r="N686" s="410"/>
      <c r="O686" s="196"/>
    </row>
    <row r="687" spans="1:18" ht="20.100000000000001" hidden="1" customHeight="1" x14ac:dyDescent="0.25">
      <c r="A687" s="174"/>
      <c r="B687" s="174"/>
      <c r="C687" s="174"/>
      <c r="D687" s="175"/>
      <c r="E687" s="171"/>
      <c r="F687" s="38" t="s">
        <v>221</v>
      </c>
      <c r="G687" s="181" t="s">
        <v>466</v>
      </c>
      <c r="H687" s="38" t="s">
        <v>220</v>
      </c>
      <c r="I687" s="282">
        <v>160</v>
      </c>
      <c r="J687" s="282">
        <f>K687-I687</f>
        <v>0</v>
      </c>
      <c r="K687" s="282">
        <v>160</v>
      </c>
      <c r="L687" s="34">
        <v>1250</v>
      </c>
      <c r="M687" s="34">
        <v>1250</v>
      </c>
      <c r="N687" s="410"/>
      <c r="O687" s="196"/>
      <c r="Q687" s="194"/>
      <c r="R687" s="194"/>
    </row>
    <row r="688" spans="1:18" ht="20.100000000000001" hidden="1" customHeight="1" x14ac:dyDescent="0.25">
      <c r="A688" s="174"/>
      <c r="B688" s="174"/>
      <c r="C688" s="174"/>
      <c r="D688" s="175">
        <v>3239</v>
      </c>
      <c r="E688" s="175"/>
      <c r="F688" s="56"/>
      <c r="G688" s="181" t="s">
        <v>466</v>
      </c>
      <c r="H688" s="53" t="s">
        <v>42</v>
      </c>
      <c r="I688" s="282">
        <f>I693</f>
        <v>160</v>
      </c>
      <c r="J688" s="282">
        <f>J693</f>
        <v>0</v>
      </c>
      <c r="K688" s="282">
        <f>K693</f>
        <v>160</v>
      </c>
      <c r="L688" s="34">
        <f>L693</f>
        <v>1250</v>
      </c>
      <c r="M688" s="34">
        <f>M693</f>
        <v>1250</v>
      </c>
      <c r="N688" s="410"/>
      <c r="O688" s="196"/>
      <c r="Q688" s="194"/>
      <c r="R688" s="194"/>
    </row>
    <row r="689" spans="1:18" ht="30" hidden="1" customHeight="1" x14ac:dyDescent="0.25">
      <c r="A689" s="174"/>
      <c r="B689" s="174"/>
      <c r="C689" s="174"/>
      <c r="D689" s="175"/>
      <c r="E689" s="171" t="s">
        <v>222</v>
      </c>
      <c r="F689" s="38"/>
      <c r="G689" s="181" t="s">
        <v>466</v>
      </c>
      <c r="H689" s="38" t="s">
        <v>223</v>
      </c>
      <c r="I689" s="282"/>
      <c r="J689" s="282"/>
      <c r="K689" s="282"/>
      <c r="L689" s="34"/>
      <c r="M689" s="34"/>
      <c r="N689" s="410"/>
      <c r="O689" s="196"/>
      <c r="Q689" s="194"/>
      <c r="R689" s="194"/>
    </row>
    <row r="690" spans="1:18" ht="30" hidden="1" customHeight="1" x14ac:dyDescent="0.25">
      <c r="A690" s="174"/>
      <c r="B690" s="174"/>
      <c r="C690" s="174"/>
      <c r="D690" s="175"/>
      <c r="E690" s="171"/>
      <c r="F690" s="38" t="s">
        <v>224</v>
      </c>
      <c r="G690" s="181" t="s">
        <v>466</v>
      </c>
      <c r="H690" s="38" t="s">
        <v>223</v>
      </c>
      <c r="I690" s="282"/>
      <c r="J690" s="282"/>
      <c r="K690" s="282"/>
      <c r="L690" s="34"/>
      <c r="M690" s="34"/>
      <c r="N690" s="410"/>
      <c r="O690" s="196"/>
      <c r="Q690" s="194"/>
      <c r="R690" s="194"/>
    </row>
    <row r="691" spans="1:18" ht="20.100000000000001" hidden="1" customHeight="1" x14ac:dyDescent="0.25">
      <c r="A691" s="174"/>
      <c r="B691" s="174"/>
      <c r="C691" s="174"/>
      <c r="D691" s="175"/>
      <c r="E691" s="171" t="s">
        <v>225</v>
      </c>
      <c r="F691" s="38"/>
      <c r="G691" s="181" t="s">
        <v>466</v>
      </c>
      <c r="H691" s="38" t="s">
        <v>226</v>
      </c>
      <c r="I691" s="282"/>
      <c r="J691" s="282"/>
      <c r="K691" s="282"/>
      <c r="L691" s="34"/>
      <c r="M691" s="34"/>
      <c r="N691" s="410"/>
      <c r="O691" s="196"/>
      <c r="Q691" s="194"/>
      <c r="R691" s="194"/>
    </row>
    <row r="692" spans="1:18" ht="20.100000000000001" hidden="1" customHeight="1" x14ac:dyDescent="0.25">
      <c r="A692" s="174"/>
      <c r="B692" s="174"/>
      <c r="C692" s="174"/>
      <c r="D692" s="175"/>
      <c r="E692" s="171"/>
      <c r="F692" s="38" t="s">
        <v>227</v>
      </c>
      <c r="G692" s="181" t="s">
        <v>466</v>
      </c>
      <c r="H692" s="38" t="s">
        <v>226</v>
      </c>
      <c r="I692" s="282"/>
      <c r="J692" s="282"/>
      <c r="K692" s="282"/>
      <c r="L692" s="34"/>
      <c r="M692" s="34"/>
      <c r="N692" s="410"/>
      <c r="O692" s="196"/>
      <c r="Q692" s="194"/>
      <c r="R692" s="194"/>
    </row>
    <row r="693" spans="1:18" ht="20.100000000000001" hidden="1" customHeight="1" x14ac:dyDescent="0.25">
      <c r="A693" s="174"/>
      <c r="B693" s="174"/>
      <c r="C693" s="174"/>
      <c r="D693" s="175"/>
      <c r="E693" s="171" t="s">
        <v>228</v>
      </c>
      <c r="F693" s="38"/>
      <c r="G693" s="181" t="s">
        <v>466</v>
      </c>
      <c r="H693" s="38" t="s">
        <v>229</v>
      </c>
      <c r="I693" s="282">
        <f>I694</f>
        <v>160</v>
      </c>
      <c r="J693" s="282">
        <f>J694</f>
        <v>0</v>
      </c>
      <c r="K693" s="282">
        <f>K694</f>
        <v>160</v>
      </c>
      <c r="L693" s="34">
        <f>L694</f>
        <v>1250</v>
      </c>
      <c r="M693" s="34">
        <f>M694</f>
        <v>1250</v>
      </c>
      <c r="N693" s="410"/>
      <c r="O693" s="196"/>
      <c r="Q693" s="194"/>
      <c r="R693" s="194"/>
    </row>
    <row r="694" spans="1:18" ht="20.100000000000001" hidden="1" customHeight="1" x14ac:dyDescent="0.25">
      <c r="A694" s="174"/>
      <c r="B694" s="174"/>
      <c r="C694" s="174"/>
      <c r="D694" s="175"/>
      <c r="E694" s="171"/>
      <c r="F694" s="38" t="s">
        <v>230</v>
      </c>
      <c r="G694" s="181" t="s">
        <v>466</v>
      </c>
      <c r="H694" s="38" t="s">
        <v>229</v>
      </c>
      <c r="I694" s="282">
        <v>160</v>
      </c>
      <c r="J694" s="282">
        <f>K694-I694</f>
        <v>0</v>
      </c>
      <c r="K694" s="282">
        <v>160</v>
      </c>
      <c r="L694" s="34">
        <v>1250</v>
      </c>
      <c r="M694" s="34">
        <v>1250</v>
      </c>
      <c r="N694" s="410"/>
      <c r="O694" s="196"/>
      <c r="Q694" s="194"/>
      <c r="R694" s="194"/>
    </row>
    <row r="695" spans="1:18" ht="20.100000000000001" hidden="1" customHeight="1" x14ac:dyDescent="0.25">
      <c r="A695" s="174"/>
      <c r="B695" s="174"/>
      <c r="C695" s="174"/>
      <c r="D695" s="175"/>
      <c r="E695" s="171" t="s">
        <v>231</v>
      </c>
      <c r="F695" s="38"/>
      <c r="G695" s="181" t="s">
        <v>466</v>
      </c>
      <c r="H695" s="38" t="s">
        <v>232</v>
      </c>
      <c r="I695" s="282"/>
      <c r="J695" s="282"/>
      <c r="K695" s="282"/>
      <c r="L695" s="31"/>
      <c r="M695" s="31"/>
      <c r="N695" s="410"/>
      <c r="O695" s="196"/>
      <c r="Q695" s="194"/>
      <c r="R695" s="194"/>
    </row>
    <row r="696" spans="1:18" ht="30" hidden="1" customHeight="1" x14ac:dyDescent="0.25">
      <c r="A696" s="174"/>
      <c r="B696" s="174"/>
      <c r="C696" s="174"/>
      <c r="D696" s="174"/>
      <c r="E696" s="171"/>
      <c r="F696" s="38" t="s">
        <v>233</v>
      </c>
      <c r="G696" s="181" t="s">
        <v>466</v>
      </c>
      <c r="H696" s="38" t="s">
        <v>234</v>
      </c>
      <c r="I696" s="282"/>
      <c r="J696" s="282"/>
      <c r="K696" s="282"/>
      <c r="L696" s="31"/>
      <c r="M696" s="31"/>
      <c r="N696" s="410"/>
      <c r="O696" s="196"/>
      <c r="P696" s="68"/>
      <c r="Q696" s="194"/>
      <c r="R696" s="194"/>
    </row>
    <row r="697" spans="1:18" ht="30" hidden="1" customHeight="1" x14ac:dyDescent="0.25">
      <c r="A697" s="174"/>
      <c r="B697" s="174"/>
      <c r="C697" s="174"/>
      <c r="D697" s="174"/>
      <c r="E697" s="171"/>
      <c r="F697" s="38" t="s">
        <v>235</v>
      </c>
      <c r="G697" s="181" t="s">
        <v>466</v>
      </c>
      <c r="H697" s="38" t="s">
        <v>236</v>
      </c>
      <c r="I697" s="282"/>
      <c r="J697" s="282"/>
      <c r="K697" s="282"/>
      <c r="L697" s="31"/>
      <c r="M697" s="31"/>
      <c r="N697" s="410"/>
      <c r="O697" s="196"/>
      <c r="P697" s="68"/>
      <c r="Q697" s="194"/>
      <c r="R697" s="194"/>
    </row>
    <row r="698" spans="1:18" ht="30" hidden="1" customHeight="1" x14ac:dyDescent="0.25">
      <c r="A698" s="174"/>
      <c r="B698" s="174"/>
      <c r="C698" s="174"/>
      <c r="D698" s="174"/>
      <c r="E698" s="171"/>
      <c r="F698" s="38" t="s">
        <v>237</v>
      </c>
      <c r="G698" s="181" t="s">
        <v>466</v>
      </c>
      <c r="H698" s="38" t="s">
        <v>238</v>
      </c>
      <c r="I698" s="282"/>
      <c r="J698" s="282"/>
      <c r="K698" s="282"/>
      <c r="L698" s="31"/>
      <c r="M698" s="31"/>
      <c r="N698" s="410"/>
      <c r="O698" s="196"/>
      <c r="P698" s="68"/>
      <c r="Q698" s="194"/>
      <c r="R698" s="194"/>
    </row>
    <row r="699" spans="1:18" ht="30" hidden="1" customHeight="1" x14ac:dyDescent="0.25">
      <c r="A699" s="174"/>
      <c r="B699" s="174"/>
      <c r="C699" s="174"/>
      <c r="D699" s="174"/>
      <c r="E699" s="171"/>
      <c r="F699" s="38" t="s">
        <v>239</v>
      </c>
      <c r="G699" s="181" t="s">
        <v>466</v>
      </c>
      <c r="H699" s="38" t="s">
        <v>240</v>
      </c>
      <c r="I699" s="282"/>
      <c r="J699" s="282"/>
      <c r="K699" s="282"/>
      <c r="L699" s="31"/>
      <c r="M699" s="31"/>
      <c r="N699" s="410"/>
      <c r="O699" s="196"/>
      <c r="P699" s="68"/>
      <c r="Q699" s="194"/>
      <c r="R699" s="194"/>
    </row>
    <row r="700" spans="1:18" ht="30" hidden="1" customHeight="1" x14ac:dyDescent="0.25">
      <c r="A700" s="174"/>
      <c r="B700" s="174"/>
      <c r="C700" s="174"/>
      <c r="D700" s="174"/>
      <c r="E700" s="171"/>
      <c r="F700" s="38" t="s">
        <v>241</v>
      </c>
      <c r="G700" s="181" t="s">
        <v>466</v>
      </c>
      <c r="H700" s="38" t="s">
        <v>242</v>
      </c>
      <c r="I700" s="282"/>
      <c r="J700" s="282"/>
      <c r="K700" s="282"/>
      <c r="L700" s="31"/>
      <c r="M700" s="31"/>
      <c r="N700" s="410"/>
      <c r="O700" s="196"/>
      <c r="P700" s="68"/>
      <c r="Q700" s="194"/>
      <c r="R700" s="194"/>
    </row>
    <row r="701" spans="1:18" ht="28.5" hidden="1" customHeight="1" x14ac:dyDescent="0.25">
      <c r="A701" s="172"/>
      <c r="B701" s="172"/>
      <c r="C701" s="172"/>
      <c r="D701" s="172"/>
      <c r="E701" s="172"/>
      <c r="F701" s="42"/>
      <c r="G701" s="221"/>
      <c r="H701" s="42" t="s">
        <v>352</v>
      </c>
      <c r="I701" s="282"/>
      <c r="J701" s="282"/>
      <c r="K701" s="282"/>
      <c r="L701" s="22"/>
      <c r="M701" s="22"/>
      <c r="N701" s="410"/>
      <c r="O701" s="196"/>
      <c r="Q701" s="194"/>
      <c r="R701" s="194"/>
    </row>
    <row r="702" spans="1:18" ht="17.25" hidden="1" customHeight="1" x14ac:dyDescent="0.25">
      <c r="A702" s="172">
        <v>4</v>
      </c>
      <c r="B702" s="174"/>
      <c r="C702" s="174"/>
      <c r="D702" s="175"/>
      <c r="E702" s="171"/>
      <c r="F702" s="38"/>
      <c r="G702" s="222"/>
      <c r="H702" s="43" t="s">
        <v>324</v>
      </c>
      <c r="I702" s="282">
        <f t="shared" ref="I702:K706" si="118">I703</f>
        <v>0</v>
      </c>
      <c r="J702" s="282">
        <f t="shared" si="118"/>
        <v>0</v>
      </c>
      <c r="K702" s="282">
        <f t="shared" si="118"/>
        <v>0</v>
      </c>
      <c r="L702" s="31"/>
      <c r="M702" s="31"/>
      <c r="N702" s="410"/>
      <c r="O702" s="196"/>
      <c r="Q702" s="194"/>
      <c r="R702" s="194"/>
    </row>
    <row r="703" spans="1:18" ht="29.25" hidden="1" customHeight="1" x14ac:dyDescent="0.25">
      <c r="A703" s="174"/>
      <c r="B703" s="172">
        <v>42</v>
      </c>
      <c r="C703" s="172"/>
      <c r="D703" s="175"/>
      <c r="E703" s="171"/>
      <c r="F703" s="38"/>
      <c r="G703" s="222"/>
      <c r="H703" s="43" t="s">
        <v>63</v>
      </c>
      <c r="I703" s="282">
        <f t="shared" si="118"/>
        <v>0</v>
      </c>
      <c r="J703" s="282">
        <f t="shared" si="118"/>
        <v>0</v>
      </c>
      <c r="K703" s="282">
        <f t="shared" si="118"/>
        <v>0</v>
      </c>
      <c r="L703" s="31"/>
      <c r="M703" s="31"/>
      <c r="N703" s="410"/>
      <c r="O703" s="196"/>
    </row>
    <row r="704" spans="1:18" ht="17.25" hidden="1" customHeight="1" x14ac:dyDescent="0.25">
      <c r="A704" s="174"/>
      <c r="B704" s="172"/>
      <c r="C704" s="172">
        <v>422</v>
      </c>
      <c r="D704" s="175"/>
      <c r="E704" s="171"/>
      <c r="F704" s="38"/>
      <c r="G704" s="222"/>
      <c r="H704" s="43" t="s">
        <v>64</v>
      </c>
      <c r="I704" s="282">
        <f t="shared" si="118"/>
        <v>0</v>
      </c>
      <c r="J704" s="282">
        <f t="shared" si="118"/>
        <v>0</v>
      </c>
      <c r="K704" s="282">
        <f t="shared" si="118"/>
        <v>0</v>
      </c>
      <c r="L704" s="31"/>
      <c r="M704" s="31"/>
      <c r="N704" s="410"/>
      <c r="O704" s="196"/>
    </row>
    <row r="705" spans="1:18" ht="17.25" hidden="1" customHeight="1" x14ac:dyDescent="0.25">
      <c r="A705" s="174"/>
      <c r="B705" s="174"/>
      <c r="C705" s="174"/>
      <c r="D705" s="175">
        <v>4221</v>
      </c>
      <c r="E705" s="171"/>
      <c r="F705" s="38"/>
      <c r="G705" s="222" t="s">
        <v>466</v>
      </c>
      <c r="H705" s="38" t="s">
        <v>65</v>
      </c>
      <c r="I705" s="282">
        <f t="shared" si="118"/>
        <v>0</v>
      </c>
      <c r="J705" s="282">
        <f t="shared" si="118"/>
        <v>0</v>
      </c>
      <c r="K705" s="282">
        <f t="shared" si="118"/>
        <v>0</v>
      </c>
      <c r="L705" s="31"/>
      <c r="M705" s="31"/>
      <c r="N705" s="410"/>
      <c r="O705" s="196"/>
    </row>
    <row r="706" spans="1:18" ht="17.25" hidden="1" customHeight="1" x14ac:dyDescent="0.25">
      <c r="A706" s="174"/>
      <c r="B706" s="174"/>
      <c r="C706" s="174"/>
      <c r="D706" s="174"/>
      <c r="E706" s="171" t="s">
        <v>328</v>
      </c>
      <c r="F706" s="38"/>
      <c r="G706" s="222" t="s">
        <v>466</v>
      </c>
      <c r="H706" s="38" t="s">
        <v>329</v>
      </c>
      <c r="I706" s="282">
        <f t="shared" si="118"/>
        <v>0</v>
      </c>
      <c r="J706" s="282">
        <f>K706-I706</f>
        <v>0</v>
      </c>
      <c r="K706" s="282">
        <f t="shared" si="118"/>
        <v>0</v>
      </c>
      <c r="L706" s="31"/>
      <c r="M706" s="31"/>
      <c r="N706" s="410"/>
      <c r="O706" s="196"/>
    </row>
    <row r="707" spans="1:18" ht="17.25" hidden="1" customHeight="1" x14ac:dyDescent="0.25">
      <c r="A707" s="174"/>
      <c r="B707" s="174"/>
      <c r="C707" s="174"/>
      <c r="D707" s="174"/>
      <c r="E707" s="171"/>
      <c r="F707" s="38" t="s">
        <v>330</v>
      </c>
      <c r="G707" s="222">
        <v>31</v>
      </c>
      <c r="H707" s="38" t="s">
        <v>329</v>
      </c>
      <c r="I707" s="282">
        <v>0</v>
      </c>
      <c r="J707" s="282">
        <f>K707-I707</f>
        <v>0</v>
      </c>
      <c r="K707" s="282">
        <v>0</v>
      </c>
      <c r="L707" s="31"/>
      <c r="M707" s="31"/>
      <c r="N707" s="410"/>
      <c r="O707" s="196"/>
    </row>
    <row r="708" spans="1:18" ht="17.25" hidden="1" customHeight="1" x14ac:dyDescent="0.25">
      <c r="A708" s="174"/>
      <c r="B708" s="174"/>
      <c r="C708" s="174"/>
      <c r="D708" s="174"/>
      <c r="E708" s="171" t="s">
        <v>331</v>
      </c>
      <c r="F708" s="38"/>
      <c r="G708" s="222" t="s">
        <v>466</v>
      </c>
      <c r="H708" s="38" t="s">
        <v>332</v>
      </c>
      <c r="I708" s="282"/>
      <c r="J708" s="282"/>
      <c r="K708" s="282"/>
      <c r="L708" s="31"/>
      <c r="M708" s="31"/>
      <c r="N708" s="410"/>
      <c r="O708" s="196"/>
    </row>
    <row r="709" spans="1:18" ht="17.25" hidden="1" customHeight="1" x14ac:dyDescent="0.25">
      <c r="A709" s="174"/>
      <c r="B709" s="174"/>
      <c r="C709" s="174"/>
      <c r="D709" s="174"/>
      <c r="E709" s="171"/>
      <c r="F709" s="38" t="s">
        <v>333</v>
      </c>
      <c r="G709" s="222" t="s">
        <v>466</v>
      </c>
      <c r="H709" s="38" t="s">
        <v>332</v>
      </c>
      <c r="I709" s="282"/>
      <c r="J709" s="282"/>
      <c r="K709" s="282"/>
      <c r="L709" s="31"/>
      <c r="M709" s="31"/>
      <c r="N709" s="410"/>
      <c r="O709" s="196"/>
    </row>
    <row r="710" spans="1:18" ht="20.100000000000001" customHeight="1" x14ac:dyDescent="0.25">
      <c r="A710" s="243"/>
      <c r="B710" s="243"/>
      <c r="C710" s="243"/>
      <c r="D710" s="243"/>
      <c r="E710" s="243"/>
      <c r="F710" s="242"/>
      <c r="G710" s="245"/>
      <c r="H710" s="246" t="s">
        <v>537</v>
      </c>
      <c r="I710" s="280"/>
      <c r="J710" s="280"/>
      <c r="K710" s="280"/>
      <c r="L710" s="22"/>
      <c r="M710" s="22"/>
      <c r="N710" s="410"/>
      <c r="O710" s="196"/>
    </row>
    <row r="711" spans="1:18" ht="20.100000000000001" customHeight="1" x14ac:dyDescent="0.25">
      <c r="A711" s="345"/>
      <c r="B711" s="345"/>
      <c r="C711" s="345"/>
      <c r="D711" s="345"/>
      <c r="E711" s="345"/>
      <c r="F711" s="313"/>
      <c r="G711" s="346"/>
      <c r="H711" s="355" t="s">
        <v>288</v>
      </c>
      <c r="I711" s="351"/>
      <c r="J711" s="351"/>
      <c r="K711" s="384"/>
      <c r="L711" s="46"/>
      <c r="M711" s="46"/>
      <c r="N711" s="410"/>
      <c r="O711" s="196"/>
    </row>
    <row r="712" spans="1:18" s="21" customFormat="1" ht="20.100000000000001" customHeight="1" x14ac:dyDescent="0.25">
      <c r="A712" s="172">
        <v>3</v>
      </c>
      <c r="B712" s="172"/>
      <c r="C712" s="172"/>
      <c r="D712" s="172"/>
      <c r="E712" s="172"/>
      <c r="F712" s="42"/>
      <c r="G712" s="211"/>
      <c r="H712" s="43" t="s">
        <v>81</v>
      </c>
      <c r="I712" s="281">
        <f>I713+I745+I842+I847</f>
        <v>28799.02</v>
      </c>
      <c r="J712" s="281">
        <f>J713+J745+J842+J847</f>
        <v>0</v>
      </c>
      <c r="K712" s="281">
        <f>K713+K745+K842+K847</f>
        <v>28799.02</v>
      </c>
      <c r="L712" s="45">
        <f t="shared" ref="L712:M712" si="119">L713+L745+L842+L847</f>
        <v>200000</v>
      </c>
      <c r="M712" s="45">
        <f t="shared" si="119"/>
        <v>200000</v>
      </c>
      <c r="N712" s="410"/>
      <c r="O712" s="196"/>
      <c r="P712" s="274"/>
      <c r="Q712" s="48"/>
      <c r="R712" s="20"/>
    </row>
    <row r="713" spans="1:18" s="21" customFormat="1" ht="20.100000000000001" customHeight="1" x14ac:dyDescent="0.25">
      <c r="A713" s="172"/>
      <c r="B713" s="172">
        <v>31</v>
      </c>
      <c r="C713" s="172"/>
      <c r="D713" s="172"/>
      <c r="E713" s="172"/>
      <c r="F713" s="42"/>
      <c r="G713" s="181" t="s">
        <v>448</v>
      </c>
      <c r="H713" s="43" t="s">
        <v>13</v>
      </c>
      <c r="I713" s="281">
        <f>I714+I724+I736</f>
        <v>19600</v>
      </c>
      <c r="J713" s="281">
        <f>J714+J724+J736</f>
        <v>135</v>
      </c>
      <c r="K713" s="281">
        <f>K714+K724+K736</f>
        <v>19735</v>
      </c>
      <c r="L713" s="31">
        <f>L714+L736</f>
        <v>89968</v>
      </c>
      <c r="M713" s="31">
        <f>M714+M736</f>
        <v>89968</v>
      </c>
      <c r="N713" s="410"/>
      <c r="O713" s="196"/>
      <c r="P713" s="270"/>
      <c r="Q713" s="20"/>
      <c r="R713" s="20"/>
    </row>
    <row r="714" spans="1:18" s="150" customFormat="1" ht="20.100000000000001" hidden="1" customHeight="1" x14ac:dyDescent="0.25">
      <c r="A714" s="176"/>
      <c r="B714" s="176"/>
      <c r="C714" s="172">
        <v>311</v>
      </c>
      <c r="D714" s="172"/>
      <c r="E714" s="172"/>
      <c r="F714" s="42"/>
      <c r="G714" s="181" t="s">
        <v>448</v>
      </c>
      <c r="H714" s="43" t="s">
        <v>14</v>
      </c>
      <c r="I714" s="281">
        <f>I715+I721</f>
        <v>16850</v>
      </c>
      <c r="J714" s="281">
        <f>J715+J721</f>
        <v>116</v>
      </c>
      <c r="K714" s="281">
        <f>K715+K721</f>
        <v>16966</v>
      </c>
      <c r="L714" s="151">
        <f t="shared" ref="L714:M714" si="120">L715+L718+L721</f>
        <v>77750</v>
      </c>
      <c r="M714" s="151">
        <f t="shared" si="120"/>
        <v>77750</v>
      </c>
      <c r="N714" s="410"/>
      <c r="O714" s="196"/>
      <c r="P714" s="270"/>
      <c r="Q714" s="149"/>
      <c r="R714" s="149"/>
    </row>
    <row r="715" spans="1:18" ht="20.100000000000001" hidden="1" customHeight="1" x14ac:dyDescent="0.25">
      <c r="A715" s="174"/>
      <c r="B715" s="174"/>
      <c r="C715" s="174"/>
      <c r="D715" s="174">
        <v>3111</v>
      </c>
      <c r="E715" s="174"/>
      <c r="F715" s="44"/>
      <c r="G715" s="181" t="s">
        <v>448</v>
      </c>
      <c r="H715" s="38" t="s">
        <v>15</v>
      </c>
      <c r="I715" s="282">
        <f t="shared" ref="I715:M716" si="121">I716</f>
        <v>15345</v>
      </c>
      <c r="J715" s="282">
        <f t="shared" si="121"/>
        <v>109</v>
      </c>
      <c r="K715" s="282">
        <f t="shared" si="121"/>
        <v>15454</v>
      </c>
      <c r="L715" s="34">
        <f t="shared" si="121"/>
        <v>71950</v>
      </c>
      <c r="M715" s="34">
        <f t="shared" si="121"/>
        <v>71950</v>
      </c>
      <c r="N715" s="410"/>
      <c r="O715" s="196"/>
    </row>
    <row r="716" spans="1:18" ht="20.100000000000001" hidden="1" customHeight="1" x14ac:dyDescent="0.25">
      <c r="A716" s="174"/>
      <c r="B716" s="174"/>
      <c r="C716" s="174"/>
      <c r="D716" s="174"/>
      <c r="E716" s="171" t="s">
        <v>290</v>
      </c>
      <c r="F716" s="38"/>
      <c r="G716" s="181" t="s">
        <v>448</v>
      </c>
      <c r="H716" s="38" t="s">
        <v>291</v>
      </c>
      <c r="I716" s="282">
        <f t="shared" si="121"/>
        <v>15345</v>
      </c>
      <c r="J716" s="282">
        <f t="shared" si="121"/>
        <v>109</v>
      </c>
      <c r="K716" s="282">
        <f t="shared" si="121"/>
        <v>15454</v>
      </c>
      <c r="L716" s="34">
        <f t="shared" si="121"/>
        <v>71950</v>
      </c>
      <c r="M716" s="34">
        <f t="shared" si="121"/>
        <v>71950</v>
      </c>
      <c r="N716" s="410"/>
      <c r="O716" s="196"/>
    </row>
    <row r="717" spans="1:18" ht="20.100000000000001" hidden="1" customHeight="1" x14ac:dyDescent="0.25">
      <c r="A717" s="174"/>
      <c r="B717" s="174"/>
      <c r="C717" s="174"/>
      <c r="D717" s="174"/>
      <c r="E717" s="171"/>
      <c r="F717" s="382" t="s">
        <v>292</v>
      </c>
      <c r="G717" s="383" t="s">
        <v>448</v>
      </c>
      <c r="H717" s="382" t="s">
        <v>291</v>
      </c>
      <c r="I717" s="381">
        <f>15345</f>
        <v>15345</v>
      </c>
      <c r="J717" s="381">
        <f>K717-I717</f>
        <v>109</v>
      </c>
      <c r="K717" s="381">
        <f>15345+109</f>
        <v>15454</v>
      </c>
      <c r="L717" s="39">
        <v>71950</v>
      </c>
      <c r="M717" s="39">
        <v>71950</v>
      </c>
      <c r="N717" s="410"/>
      <c r="O717" s="196"/>
    </row>
    <row r="718" spans="1:18" ht="20.100000000000001" hidden="1" customHeight="1" x14ac:dyDescent="0.25">
      <c r="A718" s="174"/>
      <c r="B718" s="174"/>
      <c r="C718" s="174"/>
      <c r="D718" s="174">
        <v>3113</v>
      </c>
      <c r="E718" s="174"/>
      <c r="F718" s="44"/>
      <c r="G718" s="181" t="s">
        <v>448</v>
      </c>
      <c r="H718" s="38" t="s">
        <v>16</v>
      </c>
      <c r="I718" s="282"/>
      <c r="J718" s="282"/>
      <c r="K718" s="282"/>
      <c r="L718" s="34"/>
      <c r="M718" s="34"/>
      <c r="N718" s="410"/>
      <c r="O718" s="196"/>
    </row>
    <row r="719" spans="1:18" ht="20.100000000000001" hidden="1" customHeight="1" x14ac:dyDescent="0.25">
      <c r="A719" s="174"/>
      <c r="B719" s="174"/>
      <c r="C719" s="174"/>
      <c r="D719" s="174"/>
      <c r="E719" s="171" t="s">
        <v>293</v>
      </c>
      <c r="F719" s="38"/>
      <c r="G719" s="181" t="s">
        <v>448</v>
      </c>
      <c r="H719" s="38" t="s">
        <v>16</v>
      </c>
      <c r="I719" s="282"/>
      <c r="J719" s="282"/>
      <c r="K719" s="282"/>
      <c r="L719" s="34"/>
      <c r="M719" s="34"/>
      <c r="N719" s="410"/>
      <c r="O719" s="196"/>
    </row>
    <row r="720" spans="1:18" ht="20.100000000000001" hidden="1" customHeight="1" x14ac:dyDescent="0.25">
      <c r="A720" s="174"/>
      <c r="B720" s="174"/>
      <c r="C720" s="174"/>
      <c r="D720" s="174"/>
      <c r="E720" s="171"/>
      <c r="F720" s="38" t="s">
        <v>294</v>
      </c>
      <c r="G720" s="181" t="s">
        <v>448</v>
      </c>
      <c r="H720" s="38" t="s">
        <v>16</v>
      </c>
      <c r="I720" s="282"/>
      <c r="J720" s="282"/>
      <c r="K720" s="282"/>
      <c r="L720" s="34"/>
      <c r="M720" s="34"/>
      <c r="N720" s="410"/>
      <c r="O720" s="196"/>
    </row>
    <row r="721" spans="1:18" ht="17.25" hidden="1" customHeight="1" x14ac:dyDescent="0.25">
      <c r="A721" s="174"/>
      <c r="B721" s="174"/>
      <c r="C721" s="174"/>
      <c r="D721" s="174">
        <v>3114</v>
      </c>
      <c r="E721" s="174"/>
      <c r="F721" s="44"/>
      <c r="G721" s="181" t="s">
        <v>448</v>
      </c>
      <c r="H721" s="38" t="s">
        <v>17</v>
      </c>
      <c r="I721" s="282">
        <f t="shared" ref="I721:M722" si="122">I722</f>
        <v>1505</v>
      </c>
      <c r="J721" s="282">
        <f t="shared" si="122"/>
        <v>7</v>
      </c>
      <c r="K721" s="282">
        <f t="shared" si="122"/>
        <v>1512</v>
      </c>
      <c r="L721" s="34">
        <f t="shared" si="122"/>
        <v>5800</v>
      </c>
      <c r="M721" s="34">
        <f t="shared" si="122"/>
        <v>5800</v>
      </c>
      <c r="N721" s="410"/>
      <c r="O721" s="196"/>
    </row>
    <row r="722" spans="1:18" ht="20.100000000000001" hidden="1" customHeight="1" x14ac:dyDescent="0.25">
      <c r="A722" s="174"/>
      <c r="B722" s="174"/>
      <c r="C722" s="174"/>
      <c r="D722" s="174"/>
      <c r="E722" s="171" t="s">
        <v>295</v>
      </c>
      <c r="F722" s="38"/>
      <c r="G722" s="181" t="s">
        <v>448</v>
      </c>
      <c r="H722" s="38" t="s">
        <v>17</v>
      </c>
      <c r="I722" s="282">
        <f t="shared" si="122"/>
        <v>1505</v>
      </c>
      <c r="J722" s="282">
        <f t="shared" si="122"/>
        <v>7</v>
      </c>
      <c r="K722" s="282">
        <f t="shared" si="122"/>
        <v>1512</v>
      </c>
      <c r="L722" s="34">
        <f t="shared" si="122"/>
        <v>5800</v>
      </c>
      <c r="M722" s="34">
        <f t="shared" si="122"/>
        <v>5800</v>
      </c>
      <c r="N722" s="410"/>
      <c r="O722" s="196"/>
    </row>
    <row r="723" spans="1:18" ht="20.100000000000001" hidden="1" customHeight="1" x14ac:dyDescent="0.25">
      <c r="A723" s="174"/>
      <c r="B723" s="174"/>
      <c r="C723" s="174"/>
      <c r="D723" s="174"/>
      <c r="E723" s="171"/>
      <c r="F723" s="382" t="s">
        <v>296</v>
      </c>
      <c r="G723" s="383" t="s">
        <v>448</v>
      </c>
      <c r="H723" s="382" t="s">
        <v>17</v>
      </c>
      <c r="I723" s="381">
        <v>1505</v>
      </c>
      <c r="J723" s="381">
        <f>K723-I723</f>
        <v>7</v>
      </c>
      <c r="K723" s="381">
        <f>1505+7</f>
        <v>1512</v>
      </c>
      <c r="L723" s="34">
        <v>5800</v>
      </c>
      <c r="M723" s="34">
        <v>5800</v>
      </c>
      <c r="N723" s="410"/>
      <c r="O723" s="196"/>
    </row>
    <row r="724" spans="1:18" s="21" customFormat="1" ht="20.100000000000001" hidden="1" customHeight="1" x14ac:dyDescent="0.25">
      <c r="A724" s="172"/>
      <c r="B724" s="172"/>
      <c r="C724" s="172">
        <v>312</v>
      </c>
      <c r="D724" s="172"/>
      <c r="E724" s="172"/>
      <c r="F724" s="42"/>
      <c r="G724" s="181" t="s">
        <v>448</v>
      </c>
      <c r="H724" s="43" t="s">
        <v>18</v>
      </c>
      <c r="I724" s="281"/>
      <c r="J724" s="281"/>
      <c r="K724" s="281"/>
      <c r="L724" s="31"/>
      <c r="M724" s="31"/>
      <c r="N724" s="410"/>
      <c r="O724" s="196"/>
      <c r="P724" s="270"/>
      <c r="Q724" s="20"/>
      <c r="R724" s="20"/>
    </row>
    <row r="725" spans="1:18" ht="20.100000000000001" hidden="1" customHeight="1" x14ac:dyDescent="0.25">
      <c r="A725" s="174"/>
      <c r="B725" s="174"/>
      <c r="C725" s="174"/>
      <c r="D725" s="174">
        <v>3121</v>
      </c>
      <c r="E725" s="174"/>
      <c r="F725" s="44"/>
      <c r="G725" s="181" t="s">
        <v>448</v>
      </c>
      <c r="H725" s="38" t="s">
        <v>18</v>
      </c>
      <c r="I725" s="282"/>
      <c r="J725" s="282"/>
      <c r="K725" s="282"/>
      <c r="L725" s="31"/>
      <c r="M725" s="31"/>
      <c r="N725" s="410"/>
      <c r="O725" s="196"/>
    </row>
    <row r="726" spans="1:18" ht="20.100000000000001" hidden="1" customHeight="1" x14ac:dyDescent="0.25">
      <c r="A726" s="174"/>
      <c r="B726" s="174"/>
      <c r="C726" s="174"/>
      <c r="D726" s="174"/>
      <c r="E726" s="171" t="s">
        <v>84</v>
      </c>
      <c r="F726" s="38"/>
      <c r="G726" s="181" t="s">
        <v>448</v>
      </c>
      <c r="H726" s="38" t="s">
        <v>85</v>
      </c>
      <c r="I726" s="282"/>
      <c r="J726" s="282"/>
      <c r="K726" s="282"/>
      <c r="L726" s="31"/>
      <c r="M726" s="31"/>
      <c r="N726" s="410"/>
      <c r="O726" s="196"/>
    </row>
    <row r="727" spans="1:18" ht="20.100000000000001" hidden="1" customHeight="1" x14ac:dyDescent="0.25">
      <c r="A727" s="174"/>
      <c r="B727" s="174"/>
      <c r="C727" s="174"/>
      <c r="D727" s="174"/>
      <c r="E727" s="171"/>
      <c r="F727" s="38" t="s">
        <v>86</v>
      </c>
      <c r="G727" s="181" t="s">
        <v>448</v>
      </c>
      <c r="H727" s="38" t="s">
        <v>85</v>
      </c>
      <c r="I727" s="282"/>
      <c r="J727" s="282"/>
      <c r="K727" s="282"/>
      <c r="L727" s="31"/>
      <c r="M727" s="31"/>
      <c r="N727" s="410"/>
      <c r="O727" s="196"/>
    </row>
    <row r="728" spans="1:18" ht="20.100000000000001" hidden="1" customHeight="1" x14ac:dyDescent="0.25">
      <c r="A728" s="174"/>
      <c r="B728" s="174"/>
      <c r="C728" s="174"/>
      <c r="D728" s="174"/>
      <c r="E728" s="171" t="s">
        <v>87</v>
      </c>
      <c r="F728" s="38"/>
      <c r="G728" s="181" t="s">
        <v>448</v>
      </c>
      <c r="H728" s="38" t="s">
        <v>88</v>
      </c>
      <c r="I728" s="282"/>
      <c r="J728" s="282"/>
      <c r="K728" s="282"/>
      <c r="L728" s="31"/>
      <c r="M728" s="31"/>
      <c r="N728" s="410"/>
      <c r="O728" s="196"/>
    </row>
    <row r="729" spans="1:18" ht="20.100000000000001" hidden="1" customHeight="1" x14ac:dyDescent="0.25">
      <c r="A729" s="174"/>
      <c r="B729" s="174"/>
      <c r="C729" s="174"/>
      <c r="D729" s="174"/>
      <c r="E729" s="171"/>
      <c r="F729" s="38" t="s">
        <v>89</v>
      </c>
      <c r="G729" s="181" t="s">
        <v>448</v>
      </c>
      <c r="H729" s="38" t="s">
        <v>88</v>
      </c>
      <c r="I729" s="282"/>
      <c r="J729" s="282"/>
      <c r="K729" s="282"/>
      <c r="L729" s="31"/>
      <c r="M729" s="31"/>
      <c r="N729" s="410"/>
      <c r="O729" s="196"/>
    </row>
    <row r="730" spans="1:18" ht="20.100000000000001" hidden="1" customHeight="1" x14ac:dyDescent="0.25">
      <c r="A730" s="174"/>
      <c r="B730" s="174"/>
      <c r="C730" s="174"/>
      <c r="D730" s="174"/>
      <c r="E730" s="171" t="s">
        <v>90</v>
      </c>
      <c r="F730" s="38"/>
      <c r="G730" s="181" t="s">
        <v>448</v>
      </c>
      <c r="H730" s="38" t="s">
        <v>91</v>
      </c>
      <c r="I730" s="282"/>
      <c r="J730" s="282"/>
      <c r="K730" s="282"/>
      <c r="L730" s="31"/>
      <c r="M730" s="31"/>
      <c r="N730" s="410"/>
      <c r="O730" s="196"/>
    </row>
    <row r="731" spans="1:18" ht="20.100000000000001" hidden="1" customHeight="1" x14ac:dyDescent="0.25">
      <c r="A731" s="174"/>
      <c r="B731" s="174"/>
      <c r="C731" s="174"/>
      <c r="D731" s="174"/>
      <c r="E731" s="171"/>
      <c r="F731" s="38" t="s">
        <v>92</v>
      </c>
      <c r="G731" s="181" t="s">
        <v>448</v>
      </c>
      <c r="H731" s="38" t="s">
        <v>91</v>
      </c>
      <c r="I731" s="282"/>
      <c r="J731" s="282"/>
      <c r="K731" s="282"/>
      <c r="L731" s="31"/>
      <c r="M731" s="31"/>
      <c r="N731" s="410"/>
      <c r="O731" s="196"/>
    </row>
    <row r="732" spans="1:18" ht="20.100000000000001" hidden="1" customHeight="1" x14ac:dyDescent="0.25">
      <c r="A732" s="174"/>
      <c r="B732" s="174"/>
      <c r="C732" s="174"/>
      <c r="D732" s="174"/>
      <c r="E732" s="171" t="s">
        <v>93</v>
      </c>
      <c r="F732" s="38"/>
      <c r="G732" s="181" t="s">
        <v>448</v>
      </c>
      <c r="H732" s="38" t="s">
        <v>94</v>
      </c>
      <c r="I732" s="282"/>
      <c r="J732" s="282"/>
      <c r="K732" s="282"/>
      <c r="L732" s="31"/>
      <c r="M732" s="31"/>
      <c r="N732" s="410"/>
      <c r="O732" s="196"/>
    </row>
    <row r="733" spans="1:18" ht="20.100000000000001" hidden="1" customHeight="1" x14ac:dyDescent="0.25">
      <c r="A733" s="174"/>
      <c r="B733" s="174"/>
      <c r="C733" s="174"/>
      <c r="D733" s="174"/>
      <c r="E733" s="171"/>
      <c r="F733" s="38" t="s">
        <v>95</v>
      </c>
      <c r="G733" s="181" t="s">
        <v>448</v>
      </c>
      <c r="H733" s="38" t="s">
        <v>94</v>
      </c>
      <c r="I733" s="282"/>
      <c r="J733" s="282"/>
      <c r="K733" s="282"/>
      <c r="L733" s="31"/>
      <c r="M733" s="31"/>
      <c r="N733" s="410"/>
      <c r="O733" s="196"/>
    </row>
    <row r="734" spans="1:18" ht="20.100000000000001" hidden="1" customHeight="1" x14ac:dyDescent="0.25">
      <c r="A734" s="174"/>
      <c r="B734" s="174"/>
      <c r="C734" s="174"/>
      <c r="D734" s="174"/>
      <c r="E734" s="171" t="s">
        <v>96</v>
      </c>
      <c r="F734" s="38"/>
      <c r="G734" s="181" t="s">
        <v>448</v>
      </c>
      <c r="H734" s="38" t="s">
        <v>97</v>
      </c>
      <c r="I734" s="282"/>
      <c r="J734" s="282"/>
      <c r="K734" s="282"/>
      <c r="L734" s="31"/>
      <c r="M734" s="31"/>
      <c r="N734" s="410"/>
      <c r="O734" s="196"/>
    </row>
    <row r="735" spans="1:18" ht="20.100000000000001" hidden="1" customHeight="1" x14ac:dyDescent="0.25">
      <c r="A735" s="174"/>
      <c r="B735" s="174"/>
      <c r="C735" s="174"/>
      <c r="D735" s="174"/>
      <c r="E735" s="171"/>
      <c r="F735" s="38" t="s">
        <v>98</v>
      </c>
      <c r="G735" s="181" t="s">
        <v>448</v>
      </c>
      <c r="H735" s="38" t="s">
        <v>97</v>
      </c>
      <c r="I735" s="282"/>
      <c r="J735" s="282"/>
      <c r="K735" s="282"/>
      <c r="L735" s="31"/>
      <c r="M735" s="31"/>
      <c r="N735" s="410"/>
      <c r="O735" s="196"/>
    </row>
    <row r="736" spans="1:18" s="150" customFormat="1" ht="20.100000000000001" hidden="1" customHeight="1" x14ac:dyDescent="0.25">
      <c r="A736" s="176"/>
      <c r="B736" s="176"/>
      <c r="C736" s="172">
        <v>313</v>
      </c>
      <c r="D736" s="172"/>
      <c r="E736" s="172"/>
      <c r="F736" s="42"/>
      <c r="G736" s="181" t="s">
        <v>448</v>
      </c>
      <c r="H736" s="43" t="s">
        <v>100</v>
      </c>
      <c r="I736" s="281">
        <f>I737+I742</f>
        <v>2750</v>
      </c>
      <c r="J736" s="281">
        <f>J737+J742</f>
        <v>19</v>
      </c>
      <c r="K736" s="281">
        <f>K737+K742</f>
        <v>2769</v>
      </c>
      <c r="L736" s="151">
        <f t="shared" ref="L736:M736" si="123">L737+L742</f>
        <v>12218</v>
      </c>
      <c r="M736" s="151">
        <f t="shared" si="123"/>
        <v>12218</v>
      </c>
      <c r="N736" s="410"/>
      <c r="O736" s="196"/>
      <c r="P736" s="270"/>
      <c r="Q736" s="149"/>
      <c r="R736" s="149"/>
    </row>
    <row r="737" spans="1:18" ht="20.100000000000001" hidden="1" customHeight="1" x14ac:dyDescent="0.25">
      <c r="A737" s="174"/>
      <c r="B737" s="174"/>
      <c r="C737" s="174"/>
      <c r="D737" s="174">
        <v>3132</v>
      </c>
      <c r="E737" s="174"/>
      <c r="F737" s="44"/>
      <c r="G737" s="181" t="s">
        <v>448</v>
      </c>
      <c r="H737" s="38" t="s">
        <v>20</v>
      </c>
      <c r="I737" s="282">
        <f>I738+I740</f>
        <v>2750</v>
      </c>
      <c r="J737" s="282">
        <f>J738+J740</f>
        <v>19</v>
      </c>
      <c r="K737" s="282">
        <f>K738+K740</f>
        <v>2769</v>
      </c>
      <c r="L737" s="39">
        <f t="shared" ref="L737:M737" si="124">L738+L740</f>
        <v>11050</v>
      </c>
      <c r="M737" s="39">
        <f t="shared" si="124"/>
        <v>11050</v>
      </c>
      <c r="N737" s="410"/>
      <c r="O737" s="196"/>
    </row>
    <row r="738" spans="1:18" ht="20.100000000000001" hidden="1" customHeight="1" x14ac:dyDescent="0.25">
      <c r="A738" s="174"/>
      <c r="B738" s="174"/>
      <c r="C738" s="174"/>
      <c r="D738" s="174"/>
      <c r="E738" s="171" t="s">
        <v>300</v>
      </c>
      <c r="F738" s="38"/>
      <c r="G738" s="181" t="s">
        <v>448</v>
      </c>
      <c r="H738" s="38" t="s">
        <v>20</v>
      </c>
      <c r="I738" s="282">
        <f>I739</f>
        <v>2750</v>
      </c>
      <c r="J738" s="282">
        <f>J739</f>
        <v>19</v>
      </c>
      <c r="K738" s="282">
        <f>K739</f>
        <v>2769</v>
      </c>
      <c r="L738" s="39">
        <f t="shared" ref="L738:M738" si="125">L739</f>
        <v>10700</v>
      </c>
      <c r="M738" s="39">
        <f t="shared" si="125"/>
        <v>10700</v>
      </c>
      <c r="N738" s="410"/>
      <c r="O738" s="196"/>
    </row>
    <row r="739" spans="1:18" ht="20.100000000000001" hidden="1" customHeight="1" x14ac:dyDescent="0.25">
      <c r="A739" s="174"/>
      <c r="B739" s="174"/>
      <c r="C739" s="174"/>
      <c r="D739" s="174"/>
      <c r="E739" s="171"/>
      <c r="F739" s="382" t="s">
        <v>301</v>
      </c>
      <c r="G739" s="383" t="s">
        <v>448</v>
      </c>
      <c r="H739" s="382" t="s">
        <v>20</v>
      </c>
      <c r="I739" s="381">
        <v>2750</v>
      </c>
      <c r="J739" s="381">
        <f>K739-I739</f>
        <v>19</v>
      </c>
      <c r="K739" s="381">
        <f>2750+19</f>
        <v>2769</v>
      </c>
      <c r="L739" s="34">
        <v>10700</v>
      </c>
      <c r="M739" s="34">
        <v>10700</v>
      </c>
      <c r="N739" s="410"/>
      <c r="O739" s="196"/>
    </row>
    <row r="740" spans="1:18" ht="30" hidden="1" customHeight="1" x14ac:dyDescent="0.25">
      <c r="A740" s="174"/>
      <c r="B740" s="174"/>
      <c r="C740" s="174"/>
      <c r="D740" s="174"/>
      <c r="E740" s="171" t="s">
        <v>302</v>
      </c>
      <c r="F740" s="38"/>
      <c r="G740" s="181" t="s">
        <v>448</v>
      </c>
      <c r="H740" s="38" t="s">
        <v>101</v>
      </c>
      <c r="I740" s="282">
        <f>I741</f>
        <v>0</v>
      </c>
      <c r="J740" s="282">
        <f>J741</f>
        <v>0</v>
      </c>
      <c r="K740" s="282">
        <f>K741</f>
        <v>0</v>
      </c>
      <c r="L740" s="39">
        <f t="shared" ref="L740:M740" si="126">L741</f>
        <v>350</v>
      </c>
      <c r="M740" s="39">
        <f t="shared" si="126"/>
        <v>350</v>
      </c>
      <c r="N740" s="410"/>
      <c r="O740" s="196"/>
    </row>
    <row r="741" spans="1:18" ht="32.25" hidden="1" customHeight="1" x14ac:dyDescent="0.25">
      <c r="A741" s="174"/>
      <c r="B741" s="174"/>
      <c r="C741" s="174"/>
      <c r="D741" s="174"/>
      <c r="E741" s="171"/>
      <c r="F741" s="38" t="s">
        <v>303</v>
      </c>
      <c r="G741" s="181" t="s">
        <v>448</v>
      </c>
      <c r="H741" s="38" t="s">
        <v>101</v>
      </c>
      <c r="I741" s="282">
        <v>0</v>
      </c>
      <c r="J741" s="282">
        <f>K741-I741</f>
        <v>0</v>
      </c>
      <c r="K741" s="282">
        <v>0</v>
      </c>
      <c r="L741" s="39">
        <v>350</v>
      </c>
      <c r="M741" s="39">
        <v>350</v>
      </c>
      <c r="N741" s="410"/>
      <c r="O741" s="196"/>
    </row>
    <row r="742" spans="1:18" ht="28.5" hidden="1" customHeight="1" x14ac:dyDescent="0.25">
      <c r="A742" s="174"/>
      <c r="B742" s="174"/>
      <c r="C742" s="174"/>
      <c r="D742" s="174">
        <v>3133</v>
      </c>
      <c r="E742" s="174"/>
      <c r="F742" s="44"/>
      <c r="G742" s="181" t="s">
        <v>448</v>
      </c>
      <c r="H742" s="38" t="s">
        <v>21</v>
      </c>
      <c r="I742" s="282">
        <f t="shared" ref="I742:M743" si="127">I743</f>
        <v>0</v>
      </c>
      <c r="J742" s="282">
        <f t="shared" si="127"/>
        <v>0</v>
      </c>
      <c r="K742" s="282">
        <f t="shared" si="127"/>
        <v>0</v>
      </c>
      <c r="L742" s="39">
        <f t="shared" si="127"/>
        <v>1168</v>
      </c>
      <c r="M742" s="39">
        <f t="shared" si="127"/>
        <v>1168</v>
      </c>
      <c r="N742" s="410"/>
      <c r="O742" s="196"/>
    </row>
    <row r="743" spans="1:18" ht="30" hidden="1" customHeight="1" x14ac:dyDescent="0.25">
      <c r="A743" s="174"/>
      <c r="B743" s="174"/>
      <c r="C743" s="174"/>
      <c r="D743" s="174"/>
      <c r="E743" s="171" t="s">
        <v>304</v>
      </c>
      <c r="F743" s="38"/>
      <c r="G743" s="181" t="s">
        <v>448</v>
      </c>
      <c r="H743" s="38" t="s">
        <v>21</v>
      </c>
      <c r="I743" s="282">
        <f t="shared" si="127"/>
        <v>0</v>
      </c>
      <c r="J743" s="282">
        <f t="shared" si="127"/>
        <v>0</v>
      </c>
      <c r="K743" s="282">
        <f t="shared" si="127"/>
        <v>0</v>
      </c>
      <c r="L743" s="39">
        <f t="shared" si="127"/>
        <v>1168</v>
      </c>
      <c r="M743" s="39">
        <f t="shared" si="127"/>
        <v>1168</v>
      </c>
      <c r="N743" s="410"/>
      <c r="O743" s="196"/>
    </row>
    <row r="744" spans="1:18" ht="30" hidden="1" customHeight="1" x14ac:dyDescent="0.25">
      <c r="A744" s="174"/>
      <c r="B744" s="174"/>
      <c r="C744" s="174"/>
      <c r="D744" s="174"/>
      <c r="E744" s="171"/>
      <c r="F744" s="38" t="s">
        <v>305</v>
      </c>
      <c r="G744" s="181" t="s">
        <v>448</v>
      </c>
      <c r="H744" s="38" t="s">
        <v>21</v>
      </c>
      <c r="I744" s="282">
        <v>0</v>
      </c>
      <c r="J744" s="282">
        <f>K744-I744</f>
        <v>0</v>
      </c>
      <c r="K744" s="282">
        <v>0</v>
      </c>
      <c r="L744" s="39">
        <v>1168</v>
      </c>
      <c r="M744" s="39">
        <v>1168</v>
      </c>
      <c r="N744" s="410"/>
      <c r="O744" s="196"/>
    </row>
    <row r="745" spans="1:18" s="21" customFormat="1" ht="20.100000000000001" customHeight="1" x14ac:dyDescent="0.25">
      <c r="A745" s="172"/>
      <c r="B745" s="172">
        <v>32</v>
      </c>
      <c r="C745" s="172"/>
      <c r="D745" s="172"/>
      <c r="E745" s="172"/>
      <c r="F745" s="42"/>
      <c r="G745" s="181" t="s">
        <v>448</v>
      </c>
      <c r="H745" s="43" t="s">
        <v>22</v>
      </c>
      <c r="I745" s="281">
        <f>I746+I772+I799</f>
        <v>9199.02</v>
      </c>
      <c r="J745" s="281">
        <f>J746+J772+J799</f>
        <v>-135</v>
      </c>
      <c r="K745" s="281">
        <f>K746+K772+K799</f>
        <v>9064.02</v>
      </c>
      <c r="L745" s="31">
        <f>L746+L772+L799</f>
        <v>109532</v>
      </c>
      <c r="M745" s="31">
        <f>M746+M772+M799</f>
        <v>109532</v>
      </c>
      <c r="N745" s="410"/>
      <c r="O745" s="196"/>
      <c r="P745" s="270"/>
      <c r="Q745" s="20"/>
      <c r="R745" s="20"/>
    </row>
    <row r="746" spans="1:18" s="150" customFormat="1" ht="20.100000000000001" hidden="1" customHeight="1" x14ac:dyDescent="0.25">
      <c r="A746" s="176"/>
      <c r="B746" s="176"/>
      <c r="C746" s="172">
        <v>321</v>
      </c>
      <c r="D746" s="172"/>
      <c r="E746" s="172"/>
      <c r="F746" s="42"/>
      <c r="G746" s="181" t="s">
        <v>448</v>
      </c>
      <c r="H746" s="43" t="s">
        <v>23</v>
      </c>
      <c r="I746" s="372">
        <f t="shared" ref="I746:K746" si="128">I747+I756+I767</f>
        <v>1195</v>
      </c>
      <c r="J746" s="372">
        <f>J747+J756+J767</f>
        <v>-343.75</v>
      </c>
      <c r="K746" s="372">
        <f t="shared" si="128"/>
        <v>851.25</v>
      </c>
      <c r="L746" s="156">
        <f>L747+L756</f>
        <v>7000</v>
      </c>
      <c r="M746" s="156">
        <f>M747+M756</f>
        <v>7000</v>
      </c>
      <c r="N746" s="410"/>
      <c r="O746" s="196"/>
      <c r="P746" s="270"/>
      <c r="Q746" s="149"/>
      <c r="R746" s="149"/>
    </row>
    <row r="747" spans="1:18" ht="20.100000000000001" hidden="1" customHeight="1" x14ac:dyDescent="0.25">
      <c r="A747" s="174"/>
      <c r="B747" s="174"/>
      <c r="C747" s="174"/>
      <c r="D747" s="174">
        <v>3211</v>
      </c>
      <c r="E747" s="174"/>
      <c r="F747" s="44"/>
      <c r="G747" s="181" t="s">
        <v>448</v>
      </c>
      <c r="H747" s="38" t="s">
        <v>24</v>
      </c>
      <c r="I747" s="282">
        <f t="shared" ref="I747:M747" si="129">I748+I750+I752+I754</f>
        <v>600</v>
      </c>
      <c r="J747" s="282">
        <f t="shared" si="129"/>
        <v>-78.75</v>
      </c>
      <c r="K747" s="282">
        <f t="shared" si="129"/>
        <v>521.25</v>
      </c>
      <c r="L747" s="39">
        <f t="shared" si="129"/>
        <v>1000</v>
      </c>
      <c r="M747" s="39">
        <f t="shared" si="129"/>
        <v>1000</v>
      </c>
      <c r="N747" s="410"/>
      <c r="O747" s="196"/>
    </row>
    <row r="748" spans="1:18" ht="20.100000000000001" hidden="1" customHeight="1" x14ac:dyDescent="0.25">
      <c r="A748" s="174"/>
      <c r="B748" s="174"/>
      <c r="C748" s="174"/>
      <c r="D748" s="174"/>
      <c r="E748" s="171" t="s">
        <v>306</v>
      </c>
      <c r="F748" s="38"/>
      <c r="G748" s="181" t="s">
        <v>448</v>
      </c>
      <c r="H748" s="38" t="s">
        <v>102</v>
      </c>
      <c r="I748" s="282">
        <f t="shared" ref="I748:M748" si="130">I749</f>
        <v>135</v>
      </c>
      <c r="J748" s="282">
        <f>J749</f>
        <v>77.480000000000018</v>
      </c>
      <c r="K748" s="282">
        <f t="shared" si="130"/>
        <v>212.48000000000002</v>
      </c>
      <c r="L748" s="39">
        <f t="shared" si="130"/>
        <v>600</v>
      </c>
      <c r="M748" s="39">
        <f t="shared" si="130"/>
        <v>600</v>
      </c>
      <c r="N748" s="410"/>
      <c r="O748" s="196"/>
    </row>
    <row r="749" spans="1:18" ht="20.100000000000001" hidden="1" customHeight="1" x14ac:dyDescent="0.25">
      <c r="A749" s="174"/>
      <c r="B749" s="174"/>
      <c r="C749" s="174"/>
      <c r="D749" s="174"/>
      <c r="E749" s="171"/>
      <c r="F749" s="382" t="s">
        <v>307</v>
      </c>
      <c r="G749" s="383" t="s">
        <v>448</v>
      </c>
      <c r="H749" s="382" t="s">
        <v>102</v>
      </c>
      <c r="I749" s="381">
        <f>135</f>
        <v>135</v>
      </c>
      <c r="J749" s="381">
        <f>K749-I749</f>
        <v>77.480000000000018</v>
      </c>
      <c r="K749" s="381">
        <f>135+77.48</f>
        <v>212.48000000000002</v>
      </c>
      <c r="L749" s="34">
        <v>600</v>
      </c>
      <c r="M749" s="34">
        <v>600</v>
      </c>
      <c r="N749" s="410"/>
      <c r="O749" s="196"/>
    </row>
    <row r="750" spans="1:18" ht="30" hidden="1" customHeight="1" x14ac:dyDescent="0.25">
      <c r="A750" s="174"/>
      <c r="B750" s="174"/>
      <c r="C750" s="174"/>
      <c r="D750" s="174"/>
      <c r="E750" s="171" t="s">
        <v>308</v>
      </c>
      <c r="F750" s="38"/>
      <c r="G750" s="181" t="s">
        <v>448</v>
      </c>
      <c r="H750" s="38" t="s">
        <v>103</v>
      </c>
      <c r="I750" s="282">
        <f t="shared" ref="I750:K750" si="131">I751</f>
        <v>465</v>
      </c>
      <c r="J750" s="282">
        <f t="shared" si="131"/>
        <v>-156.23000000000002</v>
      </c>
      <c r="K750" s="282">
        <f t="shared" si="131"/>
        <v>308.77</v>
      </c>
      <c r="L750" s="34"/>
      <c r="M750" s="34"/>
      <c r="N750" s="410"/>
      <c r="O750" s="196"/>
    </row>
    <row r="751" spans="1:18" ht="30" hidden="1" customHeight="1" x14ac:dyDescent="0.25">
      <c r="A751" s="174"/>
      <c r="B751" s="174"/>
      <c r="C751" s="174"/>
      <c r="D751" s="174"/>
      <c r="E751" s="171"/>
      <c r="F751" s="382" t="s">
        <v>309</v>
      </c>
      <c r="G751" s="383" t="s">
        <v>448</v>
      </c>
      <c r="H751" s="382" t="s">
        <v>103</v>
      </c>
      <c r="I751" s="381">
        <v>465</v>
      </c>
      <c r="J751" s="381">
        <f>K751-I751</f>
        <v>-156.23000000000002</v>
      </c>
      <c r="K751" s="381">
        <f>465-156.23</f>
        <v>308.77</v>
      </c>
      <c r="L751" s="34"/>
      <c r="M751" s="34"/>
      <c r="N751" s="410"/>
      <c r="O751" s="196"/>
      <c r="P751" s="412"/>
      <c r="Q751" s="194"/>
      <c r="R751" s="194"/>
    </row>
    <row r="752" spans="1:18" ht="30" hidden="1" customHeight="1" x14ac:dyDescent="0.25">
      <c r="A752" s="174"/>
      <c r="B752" s="174"/>
      <c r="C752" s="174"/>
      <c r="D752" s="174"/>
      <c r="E752" s="171" t="s">
        <v>310</v>
      </c>
      <c r="F752" s="38"/>
      <c r="G752" s="181" t="s">
        <v>448</v>
      </c>
      <c r="H752" s="38" t="s">
        <v>351</v>
      </c>
      <c r="I752" s="282">
        <f t="shared" ref="I752:M752" si="132">I753</f>
        <v>0</v>
      </c>
      <c r="J752" s="282">
        <f t="shared" si="132"/>
        <v>0</v>
      </c>
      <c r="K752" s="282">
        <f t="shared" si="132"/>
        <v>0</v>
      </c>
      <c r="L752" s="39">
        <f t="shared" si="132"/>
        <v>400</v>
      </c>
      <c r="M752" s="39">
        <f t="shared" si="132"/>
        <v>400</v>
      </c>
      <c r="N752" s="410"/>
      <c r="O752" s="196"/>
      <c r="P752" s="412"/>
      <c r="Q752" s="194"/>
      <c r="R752" s="194"/>
    </row>
    <row r="753" spans="1:18" ht="30" hidden="1" customHeight="1" x14ac:dyDescent="0.25">
      <c r="A753" s="174"/>
      <c r="B753" s="174"/>
      <c r="C753" s="174"/>
      <c r="D753" s="174"/>
      <c r="E753" s="171"/>
      <c r="F753" s="38" t="s">
        <v>311</v>
      </c>
      <c r="G753" s="181" t="s">
        <v>448</v>
      </c>
      <c r="H753" s="38" t="s">
        <v>104</v>
      </c>
      <c r="I753" s="282">
        <v>0</v>
      </c>
      <c r="J753" s="282">
        <f>K753-I753</f>
        <v>0</v>
      </c>
      <c r="K753" s="282">
        <v>0</v>
      </c>
      <c r="L753" s="34">
        <v>400</v>
      </c>
      <c r="M753" s="34">
        <v>400</v>
      </c>
      <c r="N753" s="410"/>
      <c r="O753" s="196"/>
      <c r="P753" s="412"/>
      <c r="Q753" s="194"/>
      <c r="R753" s="194"/>
    </row>
    <row r="754" spans="1:18" ht="20.100000000000001" hidden="1" customHeight="1" x14ac:dyDescent="0.25">
      <c r="A754" s="174"/>
      <c r="B754" s="174"/>
      <c r="C754" s="174"/>
      <c r="D754" s="174"/>
      <c r="E754" s="171" t="s">
        <v>312</v>
      </c>
      <c r="F754" s="38"/>
      <c r="G754" s="181" t="s">
        <v>448</v>
      </c>
      <c r="H754" s="38" t="s">
        <v>105</v>
      </c>
      <c r="I754" s="282">
        <f>I755</f>
        <v>0</v>
      </c>
      <c r="J754" s="282">
        <f>J755</f>
        <v>0</v>
      </c>
      <c r="K754" s="282">
        <f>K755</f>
        <v>0</v>
      </c>
      <c r="L754" s="34">
        <f>L755</f>
        <v>0</v>
      </c>
      <c r="M754" s="34">
        <f>M755</f>
        <v>0</v>
      </c>
      <c r="N754" s="410"/>
      <c r="O754" s="196"/>
      <c r="P754" s="412"/>
      <c r="Q754" s="194"/>
      <c r="R754" s="194"/>
    </row>
    <row r="755" spans="1:18" ht="20.100000000000001" hidden="1" customHeight="1" x14ac:dyDescent="0.25">
      <c r="A755" s="174"/>
      <c r="B755" s="174"/>
      <c r="C755" s="174"/>
      <c r="D755" s="174"/>
      <c r="E755" s="171"/>
      <c r="F755" s="38" t="s">
        <v>313</v>
      </c>
      <c r="G755" s="181" t="s">
        <v>448</v>
      </c>
      <c r="H755" s="38" t="s">
        <v>105</v>
      </c>
      <c r="I755" s="282">
        <v>0</v>
      </c>
      <c r="J755" s="282">
        <f>K755-I755</f>
        <v>0</v>
      </c>
      <c r="K755" s="282">
        <v>0</v>
      </c>
      <c r="L755" s="34">
        <v>0</v>
      </c>
      <c r="M755" s="34">
        <v>0</v>
      </c>
      <c r="N755" s="410"/>
      <c r="O755" s="196"/>
      <c r="P755" s="412"/>
      <c r="Q755" s="194"/>
      <c r="R755" s="194"/>
    </row>
    <row r="756" spans="1:18" ht="29.25" hidden="1" customHeight="1" x14ac:dyDescent="0.25">
      <c r="A756" s="174"/>
      <c r="B756" s="174"/>
      <c r="C756" s="174"/>
      <c r="D756" s="174">
        <v>3212</v>
      </c>
      <c r="E756" s="174"/>
      <c r="F756" s="44"/>
      <c r="G756" s="181" t="s">
        <v>448</v>
      </c>
      <c r="H756" s="38" t="s">
        <v>25</v>
      </c>
      <c r="I756" s="282">
        <f>I757</f>
        <v>330</v>
      </c>
      <c r="J756" s="282">
        <f>J757</f>
        <v>0</v>
      </c>
      <c r="K756" s="282">
        <f>K757</f>
        <v>330</v>
      </c>
      <c r="L756" s="39">
        <f t="shared" ref="L756:M756" si="133">L757</f>
        <v>6000</v>
      </c>
      <c r="M756" s="39">
        <f t="shared" si="133"/>
        <v>6000</v>
      </c>
      <c r="N756" s="410"/>
      <c r="O756" s="196"/>
      <c r="P756" s="412"/>
      <c r="Q756" s="194"/>
      <c r="R756" s="194"/>
    </row>
    <row r="757" spans="1:18" ht="20.100000000000001" hidden="1" customHeight="1" x14ac:dyDescent="0.25">
      <c r="A757" s="174"/>
      <c r="B757" s="174"/>
      <c r="C757" s="174"/>
      <c r="D757" s="174"/>
      <c r="E757" s="171" t="s">
        <v>314</v>
      </c>
      <c r="F757" s="38"/>
      <c r="G757" s="181" t="s">
        <v>448</v>
      </c>
      <c r="H757" s="38" t="s">
        <v>106</v>
      </c>
      <c r="I757" s="282">
        <f t="shared" ref="I757:M757" si="134">I758</f>
        <v>330</v>
      </c>
      <c r="J757" s="282">
        <f t="shared" si="134"/>
        <v>0</v>
      </c>
      <c r="K757" s="282">
        <f t="shared" si="134"/>
        <v>330</v>
      </c>
      <c r="L757" s="34">
        <f t="shared" si="134"/>
        <v>6000</v>
      </c>
      <c r="M757" s="34">
        <f t="shared" si="134"/>
        <v>6000</v>
      </c>
      <c r="N757" s="410"/>
      <c r="O757" s="196"/>
      <c r="P757" s="412"/>
      <c r="Q757" s="194"/>
      <c r="R757" s="194"/>
    </row>
    <row r="758" spans="1:18" ht="20.100000000000001" hidden="1" customHeight="1" x14ac:dyDescent="0.25">
      <c r="A758" s="174"/>
      <c r="B758" s="174"/>
      <c r="C758" s="174"/>
      <c r="D758" s="174"/>
      <c r="E758" s="171"/>
      <c r="F758" s="38" t="s">
        <v>315</v>
      </c>
      <c r="G758" s="181" t="s">
        <v>448</v>
      </c>
      <c r="H758" s="38" t="s">
        <v>106</v>
      </c>
      <c r="I758" s="282">
        <v>330</v>
      </c>
      <c r="J758" s="282">
        <f>K758-I758</f>
        <v>0</v>
      </c>
      <c r="K758" s="282">
        <v>330</v>
      </c>
      <c r="L758" s="34">
        <v>6000</v>
      </c>
      <c r="M758" s="34">
        <v>6000</v>
      </c>
      <c r="N758" s="410"/>
      <c r="O758" s="196"/>
      <c r="P758" s="412"/>
      <c r="Q758" s="194"/>
      <c r="R758" s="194"/>
    </row>
    <row r="759" spans="1:18" ht="20.100000000000001" hidden="1" customHeight="1" x14ac:dyDescent="0.25">
      <c r="A759" s="174"/>
      <c r="B759" s="174"/>
      <c r="C759" s="174"/>
      <c r="D759" s="174"/>
      <c r="E759" s="171" t="s">
        <v>316</v>
      </c>
      <c r="F759" s="38"/>
      <c r="G759" s="181" t="s">
        <v>448</v>
      </c>
      <c r="H759" s="38" t="s">
        <v>317</v>
      </c>
      <c r="I759" s="282"/>
      <c r="J759" s="282"/>
      <c r="K759" s="282"/>
      <c r="L759" s="31"/>
      <c r="M759" s="31"/>
      <c r="N759" s="410"/>
      <c r="O759" s="196"/>
      <c r="P759" s="412"/>
      <c r="Q759" s="194"/>
      <c r="R759" s="194"/>
    </row>
    <row r="760" spans="1:18" ht="20.100000000000001" hidden="1" customHeight="1" x14ac:dyDescent="0.25">
      <c r="A760" s="174"/>
      <c r="B760" s="174"/>
      <c r="C760" s="174"/>
      <c r="D760" s="174"/>
      <c r="E760" s="171"/>
      <c r="F760" s="38" t="s">
        <v>318</v>
      </c>
      <c r="G760" s="181" t="s">
        <v>448</v>
      </c>
      <c r="H760" s="38" t="s">
        <v>317</v>
      </c>
      <c r="I760" s="282"/>
      <c r="J760" s="282"/>
      <c r="K760" s="282"/>
      <c r="L760" s="31"/>
      <c r="M760" s="31"/>
      <c r="N760" s="410"/>
      <c r="O760" s="196"/>
      <c r="P760" s="412"/>
      <c r="Q760" s="194"/>
      <c r="R760" s="194"/>
    </row>
    <row r="761" spans="1:18" ht="20.100000000000001" hidden="1" customHeight="1" x14ac:dyDescent="0.25">
      <c r="A761" s="174"/>
      <c r="B761" s="174"/>
      <c r="C761" s="174"/>
      <c r="D761" s="174">
        <v>3213</v>
      </c>
      <c r="E761" s="174"/>
      <c r="F761" s="44"/>
      <c r="G761" s="181" t="s">
        <v>448</v>
      </c>
      <c r="H761" s="38" t="s">
        <v>26</v>
      </c>
      <c r="I761" s="282"/>
      <c r="J761" s="282"/>
      <c r="K761" s="282"/>
      <c r="L761" s="31"/>
      <c r="M761" s="31"/>
      <c r="N761" s="410"/>
      <c r="O761" s="196"/>
      <c r="P761" s="412"/>
      <c r="Q761" s="194"/>
      <c r="R761" s="194"/>
    </row>
    <row r="762" spans="1:18" ht="20.100000000000001" hidden="1" customHeight="1" x14ac:dyDescent="0.25">
      <c r="A762" s="174"/>
      <c r="B762" s="174"/>
      <c r="C762" s="174"/>
      <c r="D762" s="174"/>
      <c r="E762" s="171" t="s">
        <v>108</v>
      </c>
      <c r="F762" s="38"/>
      <c r="G762" s="181" t="s">
        <v>448</v>
      </c>
      <c r="H762" s="38" t="s">
        <v>109</v>
      </c>
      <c r="I762" s="282"/>
      <c r="J762" s="282"/>
      <c r="K762" s="282"/>
      <c r="L762" s="31"/>
      <c r="M762" s="31"/>
      <c r="N762" s="410"/>
      <c r="O762" s="196"/>
      <c r="P762" s="412"/>
      <c r="Q762" s="194"/>
      <c r="R762" s="194"/>
    </row>
    <row r="763" spans="1:18" ht="20.100000000000001" hidden="1" customHeight="1" x14ac:dyDescent="0.25">
      <c r="A763" s="174"/>
      <c r="B763" s="174"/>
      <c r="C763" s="174"/>
      <c r="D763" s="174"/>
      <c r="E763" s="171"/>
      <c r="F763" s="38" t="s">
        <v>110</v>
      </c>
      <c r="G763" s="181" t="s">
        <v>448</v>
      </c>
      <c r="H763" s="38" t="s">
        <v>319</v>
      </c>
      <c r="I763" s="282"/>
      <c r="J763" s="282"/>
      <c r="K763" s="282"/>
      <c r="L763" s="31"/>
      <c r="M763" s="31"/>
      <c r="N763" s="410"/>
      <c r="O763" s="196"/>
      <c r="P763" s="412"/>
      <c r="Q763" s="194"/>
      <c r="R763" s="194"/>
    </row>
    <row r="764" spans="1:18" ht="20.100000000000001" hidden="1" customHeight="1" x14ac:dyDescent="0.25">
      <c r="A764" s="174"/>
      <c r="B764" s="174"/>
      <c r="C764" s="174"/>
      <c r="D764" s="174"/>
      <c r="E764" s="171"/>
      <c r="F764" s="38" t="s">
        <v>112</v>
      </c>
      <c r="G764" s="181" t="s">
        <v>448</v>
      </c>
      <c r="H764" s="38" t="s">
        <v>320</v>
      </c>
      <c r="I764" s="282"/>
      <c r="J764" s="282"/>
      <c r="K764" s="282"/>
      <c r="L764" s="31"/>
      <c r="M764" s="31"/>
      <c r="N764" s="410"/>
      <c r="O764" s="196"/>
      <c r="P764" s="412"/>
      <c r="Q764" s="194"/>
      <c r="R764" s="194"/>
    </row>
    <row r="765" spans="1:18" ht="20.100000000000001" hidden="1" customHeight="1" x14ac:dyDescent="0.25">
      <c r="A765" s="174"/>
      <c r="B765" s="174"/>
      <c r="C765" s="174"/>
      <c r="D765" s="174"/>
      <c r="E765" s="171" t="s">
        <v>114</v>
      </c>
      <c r="F765" s="38"/>
      <c r="G765" s="181" t="s">
        <v>448</v>
      </c>
      <c r="H765" s="38" t="s">
        <v>115</v>
      </c>
      <c r="I765" s="282"/>
      <c r="J765" s="282"/>
      <c r="K765" s="282"/>
      <c r="L765" s="31"/>
      <c r="M765" s="31"/>
      <c r="N765" s="410"/>
      <c r="O765" s="196"/>
      <c r="P765" s="412"/>
      <c r="Q765" s="194"/>
      <c r="R765" s="194"/>
    </row>
    <row r="766" spans="1:18" ht="20.100000000000001" hidden="1" customHeight="1" x14ac:dyDescent="0.25">
      <c r="A766" s="174"/>
      <c r="B766" s="174"/>
      <c r="C766" s="174"/>
      <c r="D766" s="174"/>
      <c r="E766" s="171"/>
      <c r="F766" s="38" t="s">
        <v>116</v>
      </c>
      <c r="G766" s="181" t="s">
        <v>448</v>
      </c>
      <c r="H766" s="38" t="s">
        <v>115</v>
      </c>
      <c r="I766" s="282"/>
      <c r="J766" s="282"/>
      <c r="K766" s="282"/>
      <c r="L766" s="31"/>
      <c r="M766" s="31"/>
      <c r="N766" s="410"/>
      <c r="O766" s="196"/>
      <c r="P766" s="412"/>
      <c r="Q766" s="194"/>
      <c r="R766" s="194"/>
    </row>
    <row r="767" spans="1:18" ht="20.100000000000001" hidden="1" customHeight="1" x14ac:dyDescent="0.25">
      <c r="A767" s="174"/>
      <c r="B767" s="174"/>
      <c r="C767" s="174"/>
      <c r="D767" s="174">
        <v>3213</v>
      </c>
      <c r="E767" s="213"/>
      <c r="F767" s="214"/>
      <c r="G767" s="181" t="s">
        <v>448</v>
      </c>
      <c r="H767" s="38" t="s">
        <v>26</v>
      </c>
      <c r="I767" s="282">
        <f t="shared" ref="I767:K767" si="135">I768+I770</f>
        <v>265</v>
      </c>
      <c r="J767" s="282">
        <f t="shared" si="135"/>
        <v>-265</v>
      </c>
      <c r="K767" s="282">
        <f t="shared" si="135"/>
        <v>0</v>
      </c>
      <c r="L767" s="31"/>
      <c r="M767" s="31"/>
      <c r="N767" s="410"/>
      <c r="O767" s="196"/>
      <c r="P767" s="412"/>
      <c r="Q767" s="194"/>
      <c r="R767" s="194"/>
    </row>
    <row r="768" spans="1:18" ht="20.100000000000001" hidden="1" customHeight="1" x14ac:dyDescent="0.25">
      <c r="A768" s="174"/>
      <c r="B768" s="174"/>
      <c r="C768" s="174"/>
      <c r="D768" s="213"/>
      <c r="E768" s="171" t="s">
        <v>108</v>
      </c>
      <c r="F768" s="38"/>
      <c r="G768" s="181" t="s">
        <v>448</v>
      </c>
      <c r="H768" s="38" t="s">
        <v>109</v>
      </c>
      <c r="I768" s="282">
        <f t="shared" ref="I768:K768" si="136">I769</f>
        <v>265</v>
      </c>
      <c r="J768" s="282">
        <f t="shared" si="136"/>
        <v>-265</v>
      </c>
      <c r="K768" s="282">
        <f t="shared" si="136"/>
        <v>0</v>
      </c>
      <c r="L768" s="31"/>
      <c r="M768" s="31"/>
      <c r="N768" s="410"/>
      <c r="O768" s="196"/>
      <c r="P768" s="412"/>
      <c r="Q768" s="194"/>
      <c r="R768" s="194"/>
    </row>
    <row r="769" spans="1:20" ht="20.100000000000001" hidden="1" customHeight="1" x14ac:dyDescent="0.25">
      <c r="A769" s="174"/>
      <c r="B769" s="174"/>
      <c r="C769" s="174"/>
      <c r="D769" s="213"/>
      <c r="E769" s="171"/>
      <c r="F769" s="382" t="s">
        <v>110</v>
      </c>
      <c r="G769" s="383" t="s">
        <v>448</v>
      </c>
      <c r="H769" s="382" t="s">
        <v>319</v>
      </c>
      <c r="I769" s="381">
        <v>265</v>
      </c>
      <c r="J769" s="381">
        <f>K769-I769</f>
        <v>-265</v>
      </c>
      <c r="K769" s="381">
        <v>0</v>
      </c>
      <c r="L769" s="31"/>
      <c r="M769" s="31"/>
      <c r="N769" s="410"/>
      <c r="O769" s="196"/>
      <c r="P769" s="412"/>
      <c r="Q769" s="194"/>
      <c r="R769" s="194"/>
    </row>
    <row r="770" spans="1:20" ht="20.100000000000001" hidden="1" customHeight="1" x14ac:dyDescent="0.25">
      <c r="A770" s="174"/>
      <c r="B770" s="174"/>
      <c r="C770" s="174"/>
      <c r="D770" s="213"/>
      <c r="E770" s="171" t="s">
        <v>114</v>
      </c>
      <c r="F770" s="38"/>
      <c r="G770" s="181" t="s">
        <v>448</v>
      </c>
      <c r="H770" s="38" t="s">
        <v>115</v>
      </c>
      <c r="I770" s="282">
        <f t="shared" ref="I770:K770" si="137">I771</f>
        <v>0</v>
      </c>
      <c r="J770" s="282">
        <f t="shared" si="137"/>
        <v>0</v>
      </c>
      <c r="K770" s="282">
        <f t="shared" si="137"/>
        <v>0</v>
      </c>
      <c r="L770" s="31"/>
      <c r="M770" s="31"/>
      <c r="N770" s="410"/>
      <c r="O770" s="196"/>
      <c r="P770" s="412"/>
      <c r="Q770" s="194"/>
      <c r="R770" s="194"/>
    </row>
    <row r="771" spans="1:20" ht="20.100000000000001" hidden="1" customHeight="1" x14ac:dyDescent="0.25">
      <c r="A771" s="174"/>
      <c r="B771" s="174"/>
      <c r="C771" s="174"/>
      <c r="D771" s="213"/>
      <c r="E771" s="171"/>
      <c r="F771" s="38" t="s">
        <v>116</v>
      </c>
      <c r="G771" s="181" t="s">
        <v>448</v>
      </c>
      <c r="H771" s="38" t="s">
        <v>115</v>
      </c>
      <c r="I771" s="282">
        <v>0</v>
      </c>
      <c r="J771" s="282">
        <f>K771-I771</f>
        <v>0</v>
      </c>
      <c r="K771" s="282">
        <v>0</v>
      </c>
      <c r="L771" s="31"/>
      <c r="M771" s="31"/>
      <c r="N771" s="410"/>
      <c r="O771" s="196"/>
      <c r="P771" s="412"/>
      <c r="Q771" s="194"/>
      <c r="R771" s="194"/>
    </row>
    <row r="772" spans="1:20" s="150" customFormat="1" ht="20.100000000000001" hidden="1" customHeight="1" x14ac:dyDescent="0.25">
      <c r="A772" s="176"/>
      <c r="B772" s="176"/>
      <c r="C772" s="172">
        <v>322</v>
      </c>
      <c r="D772" s="172"/>
      <c r="E772" s="172"/>
      <c r="F772" s="42"/>
      <c r="G772" s="181" t="s">
        <v>448</v>
      </c>
      <c r="H772" s="43" t="s">
        <v>27</v>
      </c>
      <c r="I772" s="281">
        <f>I773+I783+I788+I796</f>
        <v>3878.1800000000003</v>
      </c>
      <c r="J772" s="281">
        <f>J773+J783+J788+J796</f>
        <v>343.75</v>
      </c>
      <c r="K772" s="281">
        <f>K773+K783+K788+K796</f>
        <v>4221.93</v>
      </c>
      <c r="L772" s="148">
        <f>L773+L783+L788</f>
        <v>45332</v>
      </c>
      <c r="M772" s="148">
        <f>M773+M783+M788</f>
        <v>45332</v>
      </c>
      <c r="N772" s="410"/>
      <c r="O772" s="196"/>
      <c r="P772" s="270"/>
      <c r="Q772" s="149"/>
      <c r="R772" s="149"/>
    </row>
    <row r="773" spans="1:20" ht="20.100000000000001" hidden="1" customHeight="1" x14ac:dyDescent="0.25">
      <c r="A773" s="174"/>
      <c r="B773" s="174"/>
      <c r="C773" s="174"/>
      <c r="D773" s="174">
        <v>3221</v>
      </c>
      <c r="E773" s="174"/>
      <c r="F773" s="44"/>
      <c r="G773" s="181" t="s">
        <v>448</v>
      </c>
      <c r="H773" s="38" t="s">
        <v>117</v>
      </c>
      <c r="I773" s="282">
        <f>I774+I777+I779+I781</f>
        <v>618.18000000000006</v>
      </c>
      <c r="J773" s="282">
        <f>J774+J777+J779+J781</f>
        <v>0</v>
      </c>
      <c r="K773" s="282">
        <f>K774+K777+K779+K781</f>
        <v>618.18000000000006</v>
      </c>
      <c r="L773" s="34">
        <f>L774+L777+L779+L781</f>
        <v>16032</v>
      </c>
      <c r="M773" s="34">
        <f>M774+M777+M779+M781</f>
        <v>16032</v>
      </c>
      <c r="N773" s="410"/>
      <c r="O773" s="196"/>
    </row>
    <row r="774" spans="1:20" ht="20.100000000000001" hidden="1" customHeight="1" x14ac:dyDescent="0.25">
      <c r="A774" s="174"/>
      <c r="B774" s="174"/>
      <c r="C774" s="174"/>
      <c r="D774" s="174"/>
      <c r="E774" s="171" t="s">
        <v>118</v>
      </c>
      <c r="F774" s="38"/>
      <c r="G774" s="181" t="s">
        <v>448</v>
      </c>
      <c r="H774" s="38" t="s">
        <v>119</v>
      </c>
      <c r="I774" s="282">
        <f>I775+I776</f>
        <v>338.18</v>
      </c>
      <c r="J774" s="282">
        <f>J775+J776</f>
        <v>0</v>
      </c>
      <c r="K774" s="282">
        <f>K775+K776</f>
        <v>338.18</v>
      </c>
      <c r="L774" s="34">
        <f>L775+L776</f>
        <v>10032</v>
      </c>
      <c r="M774" s="34">
        <f>M775+M776</f>
        <v>10032</v>
      </c>
      <c r="N774" s="410"/>
      <c r="O774" s="196"/>
    </row>
    <row r="775" spans="1:20" ht="20.100000000000001" hidden="1" customHeight="1" x14ac:dyDescent="0.25">
      <c r="A775" s="174"/>
      <c r="B775" s="174"/>
      <c r="C775" s="174"/>
      <c r="D775" s="174"/>
      <c r="E775" s="171"/>
      <c r="F775" s="38" t="s">
        <v>120</v>
      </c>
      <c r="G775" s="181" t="s">
        <v>448</v>
      </c>
      <c r="H775" s="38" t="s">
        <v>119</v>
      </c>
      <c r="I775" s="282">
        <v>318.18</v>
      </c>
      <c r="J775" s="282">
        <f>K775-I775</f>
        <v>0</v>
      </c>
      <c r="K775" s="282">
        <v>318.18</v>
      </c>
      <c r="L775" s="39">
        <v>3032</v>
      </c>
      <c r="M775" s="39">
        <v>3032</v>
      </c>
      <c r="N775" s="410"/>
      <c r="O775" s="196"/>
    </row>
    <row r="776" spans="1:20" ht="20.100000000000001" hidden="1" customHeight="1" x14ac:dyDescent="0.25">
      <c r="A776" s="174"/>
      <c r="B776" s="174"/>
      <c r="C776" s="174"/>
      <c r="D776" s="174"/>
      <c r="E776" s="171"/>
      <c r="F776" s="38" t="s">
        <v>121</v>
      </c>
      <c r="G776" s="181" t="s">
        <v>448</v>
      </c>
      <c r="H776" s="38" t="s">
        <v>321</v>
      </c>
      <c r="I776" s="282">
        <v>20</v>
      </c>
      <c r="J776" s="282">
        <f>K776-I776</f>
        <v>0</v>
      </c>
      <c r="K776" s="282">
        <v>20</v>
      </c>
      <c r="L776" s="34">
        <v>7000</v>
      </c>
      <c r="M776" s="34">
        <v>7000</v>
      </c>
      <c r="N776" s="410"/>
      <c r="O776" s="196"/>
    </row>
    <row r="777" spans="1:20" ht="30" hidden="1" customHeight="1" x14ac:dyDescent="0.25">
      <c r="A777" s="174"/>
      <c r="B777" s="174"/>
      <c r="C777" s="174"/>
      <c r="D777" s="174"/>
      <c r="E777" s="171" t="s">
        <v>123</v>
      </c>
      <c r="F777" s="38"/>
      <c r="G777" s="181" t="s">
        <v>448</v>
      </c>
      <c r="H777" s="38" t="s">
        <v>124</v>
      </c>
      <c r="I777" s="282">
        <f>I778</f>
        <v>130</v>
      </c>
      <c r="J777" s="282">
        <f>J778</f>
        <v>0</v>
      </c>
      <c r="K777" s="381">
        <f>K778</f>
        <v>130</v>
      </c>
      <c r="L777" s="34">
        <f>L778</f>
        <v>1000</v>
      </c>
      <c r="M777" s="34">
        <f>M778</f>
        <v>1000</v>
      </c>
      <c r="N777" s="410"/>
      <c r="O777" s="196"/>
    </row>
    <row r="778" spans="1:20" ht="30" hidden="1" customHeight="1" x14ac:dyDescent="0.25">
      <c r="A778" s="174"/>
      <c r="B778" s="174"/>
      <c r="C778" s="174"/>
      <c r="D778" s="174"/>
      <c r="E778" s="171"/>
      <c r="F778" s="38" t="s">
        <v>125</v>
      </c>
      <c r="G778" s="181" t="s">
        <v>448</v>
      </c>
      <c r="H778" s="38" t="s">
        <v>124</v>
      </c>
      <c r="I778" s="282">
        <v>130</v>
      </c>
      <c r="J778" s="282">
        <f>K778-I778</f>
        <v>0</v>
      </c>
      <c r="K778" s="282">
        <v>130</v>
      </c>
      <c r="L778" s="34">
        <v>1000</v>
      </c>
      <c r="M778" s="34">
        <v>1000</v>
      </c>
      <c r="N778" s="410"/>
      <c r="O778" s="196"/>
    </row>
    <row r="779" spans="1:20" ht="31.5" hidden="1" customHeight="1" x14ac:dyDescent="0.25">
      <c r="A779" s="174"/>
      <c r="B779" s="174"/>
      <c r="C779" s="174"/>
      <c r="D779" s="174"/>
      <c r="E779" s="171" t="s">
        <v>126</v>
      </c>
      <c r="F779" s="38"/>
      <c r="G779" s="181" t="s">
        <v>448</v>
      </c>
      <c r="H779" s="38" t="s">
        <v>127</v>
      </c>
      <c r="I779" s="282">
        <f>I780</f>
        <v>50</v>
      </c>
      <c r="J779" s="282">
        <f>J780</f>
        <v>0</v>
      </c>
      <c r="K779" s="282">
        <f>K780</f>
        <v>50</v>
      </c>
      <c r="L779" s="34">
        <f>L780</f>
        <v>1700</v>
      </c>
      <c r="M779" s="34">
        <f>M780</f>
        <v>1700</v>
      </c>
      <c r="N779" s="410"/>
      <c r="O779" s="196"/>
    </row>
    <row r="780" spans="1:20" s="411" customFormat="1" ht="20.100000000000001" hidden="1" customHeight="1" x14ac:dyDescent="0.25">
      <c r="A780" s="174"/>
      <c r="B780" s="174"/>
      <c r="C780" s="174"/>
      <c r="D780" s="174"/>
      <c r="E780" s="171"/>
      <c r="F780" s="38" t="s">
        <v>128</v>
      </c>
      <c r="G780" s="181" t="s">
        <v>448</v>
      </c>
      <c r="H780" s="38" t="s">
        <v>127</v>
      </c>
      <c r="I780" s="282">
        <v>50</v>
      </c>
      <c r="J780" s="282">
        <f>K780-I780</f>
        <v>0</v>
      </c>
      <c r="K780" s="282">
        <v>50</v>
      </c>
      <c r="L780" s="34">
        <v>1700</v>
      </c>
      <c r="M780" s="34">
        <v>1700</v>
      </c>
      <c r="N780" s="410"/>
      <c r="O780" s="196"/>
      <c r="Q780" s="268"/>
      <c r="R780" s="268"/>
      <c r="S780" s="194"/>
      <c r="T780" s="194"/>
    </row>
    <row r="781" spans="1:20" s="411" customFormat="1" ht="20.100000000000001" hidden="1" customHeight="1" x14ac:dyDescent="0.25">
      <c r="A781" s="174"/>
      <c r="B781" s="174"/>
      <c r="C781" s="174"/>
      <c r="D781" s="174"/>
      <c r="E781" s="171" t="s">
        <v>129</v>
      </c>
      <c r="F781" s="38"/>
      <c r="G781" s="181" t="s">
        <v>448</v>
      </c>
      <c r="H781" s="38" t="s">
        <v>130</v>
      </c>
      <c r="I781" s="282">
        <f>I782</f>
        <v>100</v>
      </c>
      <c r="J781" s="282">
        <f>J782</f>
        <v>0</v>
      </c>
      <c r="K781" s="282">
        <f>K782</f>
        <v>100</v>
      </c>
      <c r="L781" s="39">
        <f t="shared" ref="L781:M781" si="138">L782</f>
        <v>3300</v>
      </c>
      <c r="M781" s="39">
        <f t="shared" si="138"/>
        <v>3300</v>
      </c>
      <c r="N781" s="410"/>
      <c r="O781" s="196"/>
      <c r="Q781" s="268"/>
      <c r="R781" s="268"/>
      <c r="S781" s="194"/>
      <c r="T781" s="194"/>
    </row>
    <row r="782" spans="1:20" s="411" customFormat="1" ht="20.100000000000001" hidden="1" customHeight="1" x14ac:dyDescent="0.25">
      <c r="A782" s="174"/>
      <c r="B782" s="174"/>
      <c r="C782" s="174"/>
      <c r="D782" s="174"/>
      <c r="E782" s="171"/>
      <c r="F782" s="38" t="s">
        <v>131</v>
      </c>
      <c r="G782" s="181" t="s">
        <v>448</v>
      </c>
      <c r="H782" s="38" t="s">
        <v>130</v>
      </c>
      <c r="I782" s="282">
        <v>100</v>
      </c>
      <c r="J782" s="282">
        <f>K782-I782</f>
        <v>0</v>
      </c>
      <c r="K782" s="282">
        <v>100</v>
      </c>
      <c r="L782" s="34">
        <v>3300</v>
      </c>
      <c r="M782" s="34">
        <v>3300</v>
      </c>
      <c r="N782" s="410"/>
      <c r="O782" s="196"/>
      <c r="Q782" s="268"/>
      <c r="R782" s="268"/>
      <c r="S782" s="194"/>
      <c r="T782" s="194"/>
    </row>
    <row r="783" spans="1:20" s="411" customFormat="1" ht="20.100000000000001" hidden="1" customHeight="1" x14ac:dyDescent="0.25">
      <c r="A783" s="174"/>
      <c r="B783" s="174"/>
      <c r="C783" s="174"/>
      <c r="D783" s="174">
        <v>3222</v>
      </c>
      <c r="E783" s="174"/>
      <c r="F783" s="44"/>
      <c r="G783" s="181" t="s">
        <v>448</v>
      </c>
      <c r="H783" s="38" t="s">
        <v>29</v>
      </c>
      <c r="I783" s="282">
        <f>I784+I786</f>
        <v>1950</v>
      </c>
      <c r="J783" s="282">
        <f>J784+J786</f>
        <v>343.75</v>
      </c>
      <c r="K783" s="282">
        <f>K784+K786</f>
        <v>2293.75</v>
      </c>
      <c r="L783" s="39">
        <f t="shared" ref="L783:M783" si="139">L784+L786</f>
        <v>12000</v>
      </c>
      <c r="M783" s="39">
        <f t="shared" si="139"/>
        <v>12000</v>
      </c>
      <c r="N783" s="410"/>
      <c r="O783" s="196"/>
      <c r="Q783" s="268"/>
      <c r="R783" s="268"/>
      <c r="S783" s="194"/>
      <c r="T783" s="194"/>
    </row>
    <row r="784" spans="1:20" s="411" customFormat="1" ht="20.100000000000001" hidden="1" customHeight="1" x14ac:dyDescent="0.25">
      <c r="A784" s="174"/>
      <c r="B784" s="174"/>
      <c r="C784" s="174"/>
      <c r="D784" s="174"/>
      <c r="E784" s="171" t="s">
        <v>135</v>
      </c>
      <c r="F784" s="38"/>
      <c r="G784" s="181" t="s">
        <v>448</v>
      </c>
      <c r="H784" s="38" t="s">
        <v>136</v>
      </c>
      <c r="I784" s="282">
        <f>I785</f>
        <v>0</v>
      </c>
      <c r="J784" s="282">
        <f>J785</f>
        <v>0</v>
      </c>
      <c r="K784" s="282">
        <f>K785</f>
        <v>0</v>
      </c>
      <c r="L784" s="39">
        <f t="shared" ref="L784:M784" si="140">L785</f>
        <v>0</v>
      </c>
      <c r="M784" s="39">
        <f t="shared" si="140"/>
        <v>0</v>
      </c>
      <c r="N784" s="410"/>
      <c r="O784" s="196"/>
      <c r="Q784" s="268"/>
      <c r="R784" s="268"/>
      <c r="S784" s="194"/>
      <c r="T784" s="194"/>
    </row>
    <row r="785" spans="1:20" s="411" customFormat="1" ht="20.100000000000001" hidden="1" customHeight="1" x14ac:dyDescent="0.25">
      <c r="A785" s="174"/>
      <c r="B785" s="174"/>
      <c r="C785" s="174"/>
      <c r="D785" s="174"/>
      <c r="E785" s="171"/>
      <c r="F785" s="38" t="s">
        <v>137</v>
      </c>
      <c r="G785" s="181" t="s">
        <v>448</v>
      </c>
      <c r="H785" s="38" t="s">
        <v>136</v>
      </c>
      <c r="I785" s="282">
        <v>0</v>
      </c>
      <c r="J785" s="282">
        <v>0</v>
      </c>
      <c r="K785" s="282">
        <f>I785+J785</f>
        <v>0</v>
      </c>
      <c r="L785" s="34">
        <v>0</v>
      </c>
      <c r="M785" s="34">
        <v>0</v>
      </c>
      <c r="N785" s="410"/>
      <c r="O785" s="196"/>
      <c r="Q785" s="268"/>
      <c r="R785" s="268"/>
      <c r="S785" s="194"/>
      <c r="T785" s="194"/>
    </row>
    <row r="786" spans="1:20" s="411" customFormat="1" ht="20.100000000000001" hidden="1" customHeight="1" x14ac:dyDescent="0.25">
      <c r="A786" s="174"/>
      <c r="B786" s="174"/>
      <c r="C786" s="174"/>
      <c r="D786" s="174"/>
      <c r="E786" s="171" t="s">
        <v>138</v>
      </c>
      <c r="F786" s="38"/>
      <c r="G786" s="181" t="s">
        <v>448</v>
      </c>
      <c r="H786" s="38" t="s">
        <v>139</v>
      </c>
      <c r="I786" s="282">
        <f>I787</f>
        <v>1950</v>
      </c>
      <c r="J786" s="282">
        <f>J787</f>
        <v>343.75</v>
      </c>
      <c r="K786" s="282">
        <f>K787</f>
        <v>2293.75</v>
      </c>
      <c r="L786" s="39">
        <f t="shared" ref="L786:M786" si="141">L787</f>
        <v>12000</v>
      </c>
      <c r="M786" s="39">
        <f t="shared" si="141"/>
        <v>12000</v>
      </c>
      <c r="N786" s="410"/>
      <c r="O786" s="196"/>
      <c r="Q786" s="268"/>
      <c r="R786" s="268"/>
      <c r="S786" s="194"/>
      <c r="T786" s="194"/>
    </row>
    <row r="787" spans="1:20" s="411" customFormat="1" ht="20.100000000000001" hidden="1" customHeight="1" x14ac:dyDescent="0.25">
      <c r="A787" s="174"/>
      <c r="B787" s="174"/>
      <c r="C787" s="174"/>
      <c r="D787" s="174"/>
      <c r="E787" s="171"/>
      <c r="F787" s="382" t="s">
        <v>140</v>
      </c>
      <c r="G787" s="383" t="s">
        <v>448</v>
      </c>
      <c r="H787" s="382" t="s">
        <v>139</v>
      </c>
      <c r="I787" s="381">
        <v>1950</v>
      </c>
      <c r="J787" s="381">
        <f>K787-I787</f>
        <v>343.75</v>
      </c>
      <c r="K787" s="381">
        <f>1950+265+78.75</f>
        <v>2293.75</v>
      </c>
      <c r="L787" s="34">
        <v>12000</v>
      </c>
      <c r="M787" s="34">
        <v>12000</v>
      </c>
      <c r="N787" s="410"/>
      <c r="O787" s="196"/>
      <c r="Q787" s="268"/>
      <c r="R787" s="268"/>
      <c r="S787" s="194"/>
      <c r="T787" s="194"/>
    </row>
    <row r="788" spans="1:20" s="411" customFormat="1" ht="20.100000000000001" hidden="1" customHeight="1" x14ac:dyDescent="0.25">
      <c r="A788" s="174"/>
      <c r="B788" s="174"/>
      <c r="C788" s="174"/>
      <c r="D788" s="175">
        <v>3223</v>
      </c>
      <c r="E788" s="175"/>
      <c r="F788" s="56"/>
      <c r="G788" s="181" t="s">
        <v>448</v>
      </c>
      <c r="H788" s="53" t="s">
        <v>30</v>
      </c>
      <c r="I788" s="282">
        <f>I789+I792+I794</f>
        <v>1310</v>
      </c>
      <c r="J788" s="282">
        <f>J789+J792+J794</f>
        <v>0</v>
      </c>
      <c r="K788" s="282">
        <f>K789+K792+K794</f>
        <v>1310</v>
      </c>
      <c r="L788" s="39">
        <f t="shared" ref="L788:M788" si="142">L789+L792+L794</f>
        <v>17300</v>
      </c>
      <c r="M788" s="39">
        <f t="shared" si="142"/>
        <v>17300</v>
      </c>
      <c r="N788" s="410"/>
      <c r="O788" s="196"/>
      <c r="Q788" s="268"/>
      <c r="R788" s="268"/>
      <c r="S788" s="194"/>
      <c r="T788" s="194"/>
    </row>
    <row r="789" spans="1:20" s="411" customFormat="1" ht="20.100000000000001" hidden="1" customHeight="1" x14ac:dyDescent="0.25">
      <c r="A789" s="174"/>
      <c r="B789" s="174"/>
      <c r="C789" s="174"/>
      <c r="D789" s="175"/>
      <c r="E789" s="171" t="s">
        <v>141</v>
      </c>
      <c r="F789" s="38"/>
      <c r="G789" s="181" t="s">
        <v>448</v>
      </c>
      <c r="H789" s="38" t="s">
        <v>142</v>
      </c>
      <c r="I789" s="282">
        <f>I790+I791</f>
        <v>660</v>
      </c>
      <c r="J789" s="282">
        <f>J790+J791</f>
        <v>0</v>
      </c>
      <c r="K789" s="282">
        <f>K790+K791</f>
        <v>660</v>
      </c>
      <c r="L789" s="39">
        <f t="shared" ref="L789:M789" si="143">L790+L791</f>
        <v>7300</v>
      </c>
      <c r="M789" s="39">
        <f t="shared" si="143"/>
        <v>7300</v>
      </c>
      <c r="N789" s="410"/>
      <c r="O789" s="196"/>
      <c r="Q789" s="268"/>
      <c r="R789" s="268"/>
      <c r="S789" s="194"/>
      <c r="T789" s="194"/>
    </row>
    <row r="790" spans="1:20" s="411" customFormat="1" ht="20.100000000000001" hidden="1" customHeight="1" x14ac:dyDescent="0.25">
      <c r="A790" s="174"/>
      <c r="B790" s="174"/>
      <c r="C790" s="174"/>
      <c r="D790" s="175"/>
      <c r="E790" s="171"/>
      <c r="F790" s="38" t="s">
        <v>143</v>
      </c>
      <c r="G790" s="181" t="s">
        <v>448</v>
      </c>
      <c r="H790" s="38" t="s">
        <v>142</v>
      </c>
      <c r="I790" s="282">
        <v>300</v>
      </c>
      <c r="J790" s="282">
        <f>K790-I790</f>
        <v>0</v>
      </c>
      <c r="K790" s="381">
        <v>300</v>
      </c>
      <c r="L790" s="34">
        <v>3300</v>
      </c>
      <c r="M790" s="34">
        <v>3300</v>
      </c>
      <c r="N790" s="410"/>
      <c r="O790" s="196"/>
      <c r="Q790" s="268"/>
      <c r="R790" s="268"/>
      <c r="S790" s="194"/>
      <c r="T790" s="194"/>
    </row>
    <row r="791" spans="1:20" s="411" customFormat="1" ht="20.100000000000001" hidden="1" customHeight="1" x14ac:dyDescent="0.25">
      <c r="A791" s="174"/>
      <c r="B791" s="174"/>
      <c r="C791" s="174"/>
      <c r="D791" s="175"/>
      <c r="E791" s="171"/>
      <c r="F791" s="38" t="s">
        <v>144</v>
      </c>
      <c r="G791" s="181" t="s">
        <v>448</v>
      </c>
      <c r="H791" s="38" t="s">
        <v>322</v>
      </c>
      <c r="I791" s="282">
        <v>360</v>
      </c>
      <c r="J791" s="282">
        <f>K791-I791</f>
        <v>0</v>
      </c>
      <c r="K791" s="381">
        <v>360</v>
      </c>
      <c r="L791" s="34">
        <v>4000</v>
      </c>
      <c r="M791" s="34">
        <v>4000</v>
      </c>
      <c r="N791" s="410"/>
      <c r="O791" s="196"/>
      <c r="Q791" s="268"/>
      <c r="R791" s="268"/>
      <c r="S791" s="194"/>
      <c r="T791" s="194"/>
    </row>
    <row r="792" spans="1:20" s="411" customFormat="1" ht="20.100000000000001" hidden="1" customHeight="1" x14ac:dyDescent="0.25">
      <c r="A792" s="174"/>
      <c r="B792" s="174"/>
      <c r="C792" s="174"/>
      <c r="D792" s="175"/>
      <c r="E792" s="171" t="s">
        <v>146</v>
      </c>
      <c r="F792" s="38"/>
      <c r="G792" s="181" t="s">
        <v>448</v>
      </c>
      <c r="H792" s="38" t="s">
        <v>147</v>
      </c>
      <c r="I792" s="282">
        <f>I793</f>
        <v>650</v>
      </c>
      <c r="J792" s="282">
        <f>J793</f>
        <v>0</v>
      </c>
      <c r="K792" s="282">
        <f>K793</f>
        <v>650</v>
      </c>
      <c r="L792" s="39">
        <f t="shared" ref="L792:M792" si="144">L793</f>
        <v>8000</v>
      </c>
      <c r="M792" s="39">
        <f t="shared" si="144"/>
        <v>8000</v>
      </c>
      <c r="N792" s="410"/>
      <c r="O792" s="196"/>
      <c r="Q792" s="268"/>
      <c r="R792" s="268"/>
      <c r="S792" s="194"/>
      <c r="T792" s="194"/>
    </row>
    <row r="793" spans="1:20" s="411" customFormat="1" ht="20.100000000000001" hidden="1" customHeight="1" x14ac:dyDescent="0.25">
      <c r="A793" s="174"/>
      <c r="B793" s="174"/>
      <c r="C793" s="174"/>
      <c r="D793" s="175"/>
      <c r="E793" s="171"/>
      <c r="F793" s="38" t="s">
        <v>148</v>
      </c>
      <c r="G793" s="181" t="s">
        <v>448</v>
      </c>
      <c r="H793" s="38" t="s">
        <v>147</v>
      </c>
      <c r="I793" s="282">
        <v>650</v>
      </c>
      <c r="J793" s="282">
        <f>K793-I793</f>
        <v>0</v>
      </c>
      <c r="K793" s="381">
        <v>650</v>
      </c>
      <c r="L793" s="34">
        <v>8000</v>
      </c>
      <c r="M793" s="34">
        <v>8000</v>
      </c>
      <c r="N793" s="410"/>
      <c r="O793" s="196"/>
      <c r="Q793" s="268"/>
      <c r="R793" s="268"/>
      <c r="S793" s="194"/>
      <c r="T793" s="194"/>
    </row>
    <row r="794" spans="1:20" s="411" customFormat="1" ht="20.100000000000001" hidden="1" customHeight="1" x14ac:dyDescent="0.25">
      <c r="A794" s="174"/>
      <c r="B794" s="174"/>
      <c r="C794" s="174"/>
      <c r="D794" s="175"/>
      <c r="E794" s="171" t="s">
        <v>149</v>
      </c>
      <c r="F794" s="38"/>
      <c r="G794" s="181" t="s">
        <v>448</v>
      </c>
      <c r="H794" s="38" t="s">
        <v>150</v>
      </c>
      <c r="I794" s="282">
        <f>I795</f>
        <v>0</v>
      </c>
      <c r="J794" s="282">
        <f>J795</f>
        <v>0</v>
      </c>
      <c r="K794" s="282">
        <f>K795</f>
        <v>0</v>
      </c>
      <c r="L794" s="39">
        <f t="shared" ref="L794:M794" si="145">L795</f>
        <v>2000</v>
      </c>
      <c r="M794" s="39">
        <f t="shared" si="145"/>
        <v>2000</v>
      </c>
      <c r="N794" s="410"/>
      <c r="O794" s="196"/>
      <c r="Q794" s="268"/>
      <c r="R794" s="268"/>
      <c r="S794" s="194"/>
      <c r="T794" s="194"/>
    </row>
    <row r="795" spans="1:20" s="411" customFormat="1" ht="20.100000000000001" hidden="1" customHeight="1" x14ac:dyDescent="0.25">
      <c r="A795" s="174"/>
      <c r="B795" s="174"/>
      <c r="C795" s="174"/>
      <c r="D795" s="175"/>
      <c r="E795" s="171"/>
      <c r="F795" s="38" t="s">
        <v>151</v>
      </c>
      <c r="G795" s="181" t="s">
        <v>448</v>
      </c>
      <c r="H795" s="38" t="s">
        <v>150</v>
      </c>
      <c r="I795" s="282">
        <v>0</v>
      </c>
      <c r="J795" s="282">
        <f>K795-I795</f>
        <v>0</v>
      </c>
      <c r="K795" s="282">
        <v>0</v>
      </c>
      <c r="L795" s="34">
        <v>2000</v>
      </c>
      <c r="M795" s="34">
        <v>2000</v>
      </c>
      <c r="N795" s="410"/>
      <c r="O795" s="196"/>
      <c r="Q795" s="268"/>
      <c r="R795" s="268"/>
      <c r="S795" s="194"/>
      <c r="T795" s="194"/>
    </row>
    <row r="796" spans="1:20" ht="20.100000000000001" hidden="1" customHeight="1" x14ac:dyDescent="0.25">
      <c r="A796" s="174"/>
      <c r="B796" s="174"/>
      <c r="C796" s="174"/>
      <c r="D796" s="175">
        <v>3225</v>
      </c>
      <c r="E796" s="171"/>
      <c r="F796" s="38"/>
      <c r="G796" s="181" t="s">
        <v>448</v>
      </c>
      <c r="H796" s="38" t="s">
        <v>32</v>
      </c>
      <c r="I796" s="282">
        <f>I797</f>
        <v>0</v>
      </c>
      <c r="J796" s="282">
        <f t="shared" ref="J796" si="146">J797</f>
        <v>0</v>
      </c>
      <c r="K796" s="282">
        <f>K797</f>
        <v>0</v>
      </c>
      <c r="L796" s="34"/>
      <c r="M796" s="34"/>
      <c r="N796" s="410"/>
      <c r="O796" s="196"/>
    </row>
    <row r="797" spans="1:20" ht="20.100000000000001" hidden="1" customHeight="1" x14ac:dyDescent="0.2">
      <c r="A797" s="174"/>
      <c r="B797" s="174"/>
      <c r="C797" s="174"/>
      <c r="D797" s="175"/>
      <c r="E797" s="171" t="s">
        <v>157</v>
      </c>
      <c r="F797" s="38"/>
      <c r="G797" s="181" t="s">
        <v>448</v>
      </c>
      <c r="H797" s="86" t="s">
        <v>158</v>
      </c>
      <c r="I797" s="282">
        <f t="shared" ref="I797:K797" si="147">I798</f>
        <v>0</v>
      </c>
      <c r="J797" s="282">
        <f t="shared" si="147"/>
        <v>0</v>
      </c>
      <c r="K797" s="282">
        <f t="shared" si="147"/>
        <v>0</v>
      </c>
      <c r="L797" s="34"/>
      <c r="M797" s="34"/>
      <c r="N797" s="410"/>
      <c r="O797" s="196"/>
    </row>
    <row r="798" spans="1:20" ht="20.100000000000001" hidden="1" customHeight="1" x14ac:dyDescent="0.2">
      <c r="A798" s="174"/>
      <c r="B798" s="174"/>
      <c r="C798" s="174"/>
      <c r="D798" s="175"/>
      <c r="E798" s="171"/>
      <c r="F798" s="38" t="s">
        <v>159</v>
      </c>
      <c r="G798" s="181" t="s">
        <v>448</v>
      </c>
      <c r="H798" s="86" t="s">
        <v>158</v>
      </c>
      <c r="I798" s="282">
        <v>0</v>
      </c>
      <c r="J798" s="282">
        <f>K798-I798</f>
        <v>0</v>
      </c>
      <c r="K798" s="282">
        <v>0</v>
      </c>
      <c r="L798" s="34"/>
      <c r="M798" s="34"/>
      <c r="N798" s="410"/>
      <c r="O798" s="196"/>
    </row>
    <row r="799" spans="1:20" s="150" customFormat="1" ht="20.100000000000001" hidden="1" customHeight="1" x14ac:dyDescent="0.25">
      <c r="A799" s="176"/>
      <c r="B799" s="176"/>
      <c r="C799" s="172">
        <v>323</v>
      </c>
      <c r="D799" s="172"/>
      <c r="E799" s="172"/>
      <c r="F799" s="42"/>
      <c r="G799" s="181" t="s">
        <v>448</v>
      </c>
      <c r="H799" s="43" t="s">
        <v>34</v>
      </c>
      <c r="I799" s="281">
        <f>I800+I809+I812+I815+I823+I830+I833</f>
        <v>4125.84</v>
      </c>
      <c r="J799" s="281">
        <f>J800+J809+J812+J815+J823+J830+J833</f>
        <v>-135</v>
      </c>
      <c r="K799" s="281">
        <f>K800+K809+K812+K815+K823+K830+K833</f>
        <v>3990.84</v>
      </c>
      <c r="L799" s="151">
        <f t="shared" ref="L799:M799" si="148">L800+L809+L812+L815+L823+L830+L833</f>
        <v>57200</v>
      </c>
      <c r="M799" s="151">
        <f t="shared" si="148"/>
        <v>57200</v>
      </c>
      <c r="N799" s="410"/>
      <c r="O799" s="196"/>
      <c r="P799" s="270"/>
      <c r="Q799" s="149"/>
      <c r="R799" s="149"/>
    </row>
    <row r="800" spans="1:20" ht="20.100000000000001" hidden="1" customHeight="1" x14ac:dyDescent="0.25">
      <c r="A800" s="174"/>
      <c r="B800" s="174"/>
      <c r="C800" s="174"/>
      <c r="D800" s="174">
        <v>3231</v>
      </c>
      <c r="E800" s="174"/>
      <c r="F800" s="44"/>
      <c r="G800" s="181" t="s">
        <v>448</v>
      </c>
      <c r="H800" s="38" t="s">
        <v>353</v>
      </c>
      <c r="I800" s="282">
        <f>I801+I803+I805</f>
        <v>400</v>
      </c>
      <c r="J800" s="282">
        <f>J801+J803+J805</f>
        <v>0</v>
      </c>
      <c r="K800" s="282">
        <f>K801+K803+K805</f>
        <v>400</v>
      </c>
      <c r="L800" s="39">
        <f t="shared" ref="L800:M800" si="149">L801+L803+L805</f>
        <v>7500</v>
      </c>
      <c r="M800" s="39">
        <f t="shared" si="149"/>
        <v>7500</v>
      </c>
      <c r="N800" s="410"/>
      <c r="O800" s="196"/>
    </row>
    <row r="801" spans="1:18" ht="20.100000000000001" hidden="1" customHeight="1" x14ac:dyDescent="0.25">
      <c r="A801" s="174"/>
      <c r="B801" s="174"/>
      <c r="C801" s="174"/>
      <c r="D801" s="174"/>
      <c r="E801" s="171" t="s">
        <v>167</v>
      </c>
      <c r="F801" s="38"/>
      <c r="G801" s="181" t="s">
        <v>448</v>
      </c>
      <c r="H801" s="38" t="s">
        <v>168</v>
      </c>
      <c r="I801" s="282">
        <f>I802</f>
        <v>400</v>
      </c>
      <c r="J801" s="282">
        <f>J802</f>
        <v>0</v>
      </c>
      <c r="K801" s="282">
        <f>K802</f>
        <v>400</v>
      </c>
      <c r="L801" s="39">
        <f t="shared" ref="L801:M801" si="150">L802</f>
        <v>6500</v>
      </c>
      <c r="M801" s="39">
        <f t="shared" si="150"/>
        <v>6500</v>
      </c>
      <c r="N801" s="410"/>
      <c r="O801" s="196"/>
    </row>
    <row r="802" spans="1:18" ht="20.100000000000001" hidden="1" customHeight="1" x14ac:dyDescent="0.25">
      <c r="A802" s="174"/>
      <c r="B802" s="174"/>
      <c r="C802" s="174"/>
      <c r="D802" s="174"/>
      <c r="E802" s="171"/>
      <c r="F802" s="38" t="s">
        <v>169</v>
      </c>
      <c r="G802" s="181" t="s">
        <v>448</v>
      </c>
      <c r="H802" s="38" t="s">
        <v>168</v>
      </c>
      <c r="I802" s="282">
        <v>400</v>
      </c>
      <c r="J802" s="282">
        <f>K802-I802</f>
        <v>0</v>
      </c>
      <c r="K802" s="381">
        <v>400</v>
      </c>
      <c r="L802" s="34">
        <v>6500</v>
      </c>
      <c r="M802" s="34">
        <v>6500</v>
      </c>
      <c r="N802" s="410"/>
      <c r="O802" s="196"/>
    </row>
    <row r="803" spans="1:18" ht="20.100000000000001" hidden="1" customHeight="1" x14ac:dyDescent="0.25">
      <c r="A803" s="174"/>
      <c r="B803" s="174"/>
      <c r="C803" s="174"/>
      <c r="D803" s="174"/>
      <c r="E803" s="171" t="s">
        <v>170</v>
      </c>
      <c r="F803" s="38"/>
      <c r="G803" s="181" t="s">
        <v>448</v>
      </c>
      <c r="H803" s="38" t="s">
        <v>171</v>
      </c>
      <c r="I803" s="282">
        <f>I804</f>
        <v>0</v>
      </c>
      <c r="J803" s="282">
        <f>J804</f>
        <v>0</v>
      </c>
      <c r="K803" s="282">
        <f>K804</f>
        <v>0</v>
      </c>
      <c r="L803" s="39">
        <f t="shared" ref="L803:M803" si="151">L804</f>
        <v>500</v>
      </c>
      <c r="M803" s="39">
        <f t="shared" si="151"/>
        <v>500</v>
      </c>
      <c r="N803" s="410"/>
      <c r="O803" s="196"/>
      <c r="P803" s="412"/>
      <c r="Q803" s="194"/>
      <c r="R803" s="194"/>
    </row>
    <row r="804" spans="1:18" ht="20.100000000000001" hidden="1" customHeight="1" x14ac:dyDescent="0.25">
      <c r="A804" s="174"/>
      <c r="B804" s="174"/>
      <c r="C804" s="174"/>
      <c r="D804" s="174"/>
      <c r="E804" s="171"/>
      <c r="F804" s="38" t="s">
        <v>172</v>
      </c>
      <c r="G804" s="181" t="s">
        <v>448</v>
      </c>
      <c r="H804" s="38" t="s">
        <v>171</v>
      </c>
      <c r="I804" s="282">
        <v>0</v>
      </c>
      <c r="J804" s="282">
        <f>K804-I804</f>
        <v>0</v>
      </c>
      <c r="K804" s="282">
        <v>0</v>
      </c>
      <c r="L804" s="34">
        <v>500</v>
      </c>
      <c r="M804" s="34">
        <v>500</v>
      </c>
      <c r="N804" s="410"/>
      <c r="O804" s="196"/>
      <c r="P804" s="412"/>
      <c r="Q804" s="194"/>
      <c r="R804" s="194"/>
    </row>
    <row r="805" spans="1:18" ht="20.100000000000001" hidden="1" customHeight="1" x14ac:dyDescent="0.25">
      <c r="A805" s="174"/>
      <c r="B805" s="174"/>
      <c r="C805" s="174"/>
      <c r="D805" s="174"/>
      <c r="E805" s="171" t="s">
        <v>173</v>
      </c>
      <c r="F805" s="38"/>
      <c r="G805" s="181" t="s">
        <v>448</v>
      </c>
      <c r="H805" s="38" t="s">
        <v>174</v>
      </c>
      <c r="I805" s="282">
        <f>I806</f>
        <v>0</v>
      </c>
      <c r="J805" s="282">
        <f>J806</f>
        <v>0</v>
      </c>
      <c r="K805" s="282">
        <f>K806</f>
        <v>0</v>
      </c>
      <c r="L805" s="39">
        <f t="shared" ref="L805:M805" si="152">L806</f>
        <v>500</v>
      </c>
      <c r="M805" s="39">
        <f t="shared" si="152"/>
        <v>500</v>
      </c>
      <c r="N805" s="410"/>
      <c r="O805" s="196"/>
      <c r="P805" s="412"/>
      <c r="Q805" s="194"/>
      <c r="R805" s="194"/>
    </row>
    <row r="806" spans="1:18" ht="20.100000000000001" hidden="1" customHeight="1" x14ac:dyDescent="0.25">
      <c r="A806" s="174"/>
      <c r="B806" s="174"/>
      <c r="C806" s="174"/>
      <c r="D806" s="174"/>
      <c r="E806" s="171"/>
      <c r="F806" s="38" t="s">
        <v>175</v>
      </c>
      <c r="G806" s="181" t="s">
        <v>448</v>
      </c>
      <c r="H806" s="38" t="s">
        <v>174</v>
      </c>
      <c r="I806" s="282">
        <v>0</v>
      </c>
      <c r="J806" s="282">
        <f>K806-I806</f>
        <v>0</v>
      </c>
      <c r="K806" s="282">
        <v>0</v>
      </c>
      <c r="L806" s="34">
        <v>500</v>
      </c>
      <c r="M806" s="34">
        <v>500</v>
      </c>
      <c r="N806" s="410"/>
      <c r="O806" s="196"/>
      <c r="P806" s="412"/>
      <c r="Q806" s="194"/>
      <c r="R806" s="194"/>
    </row>
    <row r="807" spans="1:18" ht="20.100000000000001" hidden="1" customHeight="1" x14ac:dyDescent="0.25">
      <c r="A807" s="174"/>
      <c r="B807" s="174"/>
      <c r="C807" s="174"/>
      <c r="D807" s="174"/>
      <c r="E807" s="171" t="s">
        <v>176</v>
      </c>
      <c r="F807" s="38"/>
      <c r="G807" s="181" t="s">
        <v>448</v>
      </c>
      <c r="H807" s="38" t="s">
        <v>177</v>
      </c>
      <c r="I807" s="282"/>
      <c r="J807" s="282"/>
      <c r="K807" s="282"/>
      <c r="L807" s="34"/>
      <c r="M807" s="34"/>
      <c r="N807" s="410"/>
      <c r="O807" s="196"/>
      <c r="P807" s="412"/>
      <c r="Q807" s="194"/>
      <c r="R807" s="194"/>
    </row>
    <row r="808" spans="1:18" ht="20.100000000000001" hidden="1" customHeight="1" x14ac:dyDescent="0.25">
      <c r="A808" s="174"/>
      <c r="B808" s="174"/>
      <c r="C808" s="174"/>
      <c r="D808" s="174"/>
      <c r="E808" s="171"/>
      <c r="F808" s="38" t="s">
        <v>178</v>
      </c>
      <c r="G808" s="181" t="s">
        <v>448</v>
      </c>
      <c r="H808" s="38" t="s">
        <v>177</v>
      </c>
      <c r="I808" s="282"/>
      <c r="J808" s="282"/>
      <c r="K808" s="282"/>
      <c r="L808" s="34"/>
      <c r="M808" s="34"/>
      <c r="N808" s="410"/>
      <c r="O808" s="196"/>
      <c r="P808" s="412"/>
      <c r="Q808" s="194"/>
      <c r="R808" s="194"/>
    </row>
    <row r="809" spans="1:18" ht="20.100000000000001" hidden="1" customHeight="1" x14ac:dyDescent="0.25">
      <c r="A809" s="174"/>
      <c r="B809" s="174"/>
      <c r="C809" s="174"/>
      <c r="D809" s="174">
        <v>3232</v>
      </c>
      <c r="E809" s="174"/>
      <c r="F809" s="44"/>
      <c r="G809" s="181" t="s">
        <v>448</v>
      </c>
      <c r="H809" s="38" t="s">
        <v>36</v>
      </c>
      <c r="I809" s="282">
        <f t="shared" ref="I809:M810" si="153">I810</f>
        <v>300</v>
      </c>
      <c r="J809" s="282">
        <f t="shared" si="153"/>
        <v>0</v>
      </c>
      <c r="K809" s="282">
        <f t="shared" si="153"/>
        <v>300</v>
      </c>
      <c r="L809" s="39">
        <f t="shared" si="153"/>
        <v>6200</v>
      </c>
      <c r="M809" s="39">
        <f t="shared" si="153"/>
        <v>6200</v>
      </c>
      <c r="N809" s="410"/>
      <c r="O809" s="196"/>
      <c r="P809" s="412"/>
      <c r="Q809" s="194"/>
      <c r="R809" s="194"/>
    </row>
    <row r="810" spans="1:18" ht="30" hidden="1" customHeight="1" x14ac:dyDescent="0.25">
      <c r="A810" s="174"/>
      <c r="B810" s="174"/>
      <c r="C810" s="174"/>
      <c r="D810" s="174"/>
      <c r="E810" s="171" t="s">
        <v>179</v>
      </c>
      <c r="F810" s="38"/>
      <c r="G810" s="181" t="s">
        <v>448</v>
      </c>
      <c r="H810" s="38" t="s">
        <v>180</v>
      </c>
      <c r="I810" s="282">
        <f t="shared" si="153"/>
        <v>300</v>
      </c>
      <c r="J810" s="282">
        <f t="shared" si="153"/>
        <v>0</v>
      </c>
      <c r="K810" s="282">
        <f t="shared" si="153"/>
        <v>300</v>
      </c>
      <c r="L810" s="39">
        <f t="shared" si="153"/>
        <v>6200</v>
      </c>
      <c r="M810" s="39">
        <f t="shared" si="153"/>
        <v>6200</v>
      </c>
      <c r="N810" s="410"/>
      <c r="O810" s="196"/>
      <c r="P810" s="412"/>
      <c r="Q810" s="194"/>
      <c r="R810" s="194"/>
    </row>
    <row r="811" spans="1:18" ht="30" hidden="1" customHeight="1" x14ac:dyDescent="0.25">
      <c r="A811" s="174"/>
      <c r="B811" s="174"/>
      <c r="C811" s="174"/>
      <c r="D811" s="174"/>
      <c r="E811" s="171"/>
      <c r="F811" s="38" t="s">
        <v>181</v>
      </c>
      <c r="G811" s="181" t="s">
        <v>448</v>
      </c>
      <c r="H811" s="38" t="s">
        <v>180</v>
      </c>
      <c r="I811" s="282">
        <v>300</v>
      </c>
      <c r="J811" s="282">
        <f>K811-I811</f>
        <v>0</v>
      </c>
      <c r="K811" s="381">
        <v>300</v>
      </c>
      <c r="L811" s="34">
        <v>6200</v>
      </c>
      <c r="M811" s="34">
        <v>6200</v>
      </c>
      <c r="N811" s="410"/>
      <c r="O811" s="196"/>
      <c r="P811" s="412"/>
      <c r="Q811" s="194"/>
      <c r="R811" s="194"/>
    </row>
    <row r="812" spans="1:18" ht="20.100000000000001" hidden="1" customHeight="1" x14ac:dyDescent="0.25">
      <c r="A812" s="174"/>
      <c r="B812" s="174"/>
      <c r="C812" s="174"/>
      <c r="D812" s="174">
        <v>3233</v>
      </c>
      <c r="E812" s="174"/>
      <c r="F812" s="44"/>
      <c r="G812" s="181" t="s">
        <v>448</v>
      </c>
      <c r="H812" s="38" t="s">
        <v>37</v>
      </c>
      <c r="I812" s="282">
        <f t="shared" ref="I812:M813" si="154">I813</f>
        <v>865</v>
      </c>
      <c r="J812" s="282">
        <f t="shared" si="154"/>
        <v>-135</v>
      </c>
      <c r="K812" s="282">
        <f t="shared" si="154"/>
        <v>730</v>
      </c>
      <c r="L812" s="39">
        <f t="shared" si="154"/>
        <v>6500</v>
      </c>
      <c r="M812" s="39">
        <f t="shared" si="154"/>
        <v>6500</v>
      </c>
      <c r="N812" s="410"/>
      <c r="O812" s="196"/>
      <c r="P812" s="412"/>
      <c r="Q812" s="194"/>
      <c r="R812" s="194"/>
    </row>
    <row r="813" spans="1:18" ht="20.100000000000001" hidden="1" customHeight="1" x14ac:dyDescent="0.25">
      <c r="A813" s="174"/>
      <c r="B813" s="174"/>
      <c r="C813" s="174"/>
      <c r="D813" s="174"/>
      <c r="E813" s="171" t="s">
        <v>182</v>
      </c>
      <c r="F813" s="38"/>
      <c r="G813" s="181" t="s">
        <v>448</v>
      </c>
      <c r="H813" s="38" t="s">
        <v>183</v>
      </c>
      <c r="I813" s="282">
        <f t="shared" si="154"/>
        <v>865</v>
      </c>
      <c r="J813" s="282">
        <f t="shared" si="154"/>
        <v>-135</v>
      </c>
      <c r="K813" s="282">
        <f t="shared" si="154"/>
        <v>730</v>
      </c>
      <c r="L813" s="39">
        <f t="shared" si="154"/>
        <v>6500</v>
      </c>
      <c r="M813" s="39">
        <f t="shared" si="154"/>
        <v>6500</v>
      </c>
      <c r="N813" s="410"/>
      <c r="O813" s="196"/>
      <c r="P813" s="412"/>
      <c r="Q813" s="194"/>
      <c r="R813" s="194"/>
    </row>
    <row r="814" spans="1:18" ht="20.100000000000001" hidden="1" customHeight="1" x14ac:dyDescent="0.25">
      <c r="A814" s="174"/>
      <c r="B814" s="174"/>
      <c r="C814" s="174"/>
      <c r="D814" s="174"/>
      <c r="E814" s="171"/>
      <c r="F814" s="38" t="s">
        <v>184</v>
      </c>
      <c r="G814" s="181" t="s">
        <v>448</v>
      </c>
      <c r="H814" s="38" t="s">
        <v>183</v>
      </c>
      <c r="I814" s="282">
        <f>265+135+465</f>
        <v>865</v>
      </c>
      <c r="J814" s="282">
        <f>K814-I814</f>
        <v>-135</v>
      </c>
      <c r="K814" s="381">
        <f>265+135+465-135</f>
        <v>730</v>
      </c>
      <c r="L814" s="34">
        <v>6500</v>
      </c>
      <c r="M814" s="34">
        <v>6500</v>
      </c>
      <c r="N814" s="410"/>
      <c r="O814" s="196"/>
      <c r="P814" s="412"/>
      <c r="Q814" s="194"/>
      <c r="R814" s="194"/>
    </row>
    <row r="815" spans="1:18" ht="20.100000000000001" hidden="1" customHeight="1" x14ac:dyDescent="0.25">
      <c r="A815" s="174"/>
      <c r="B815" s="174"/>
      <c r="C815" s="174"/>
      <c r="D815" s="174">
        <v>3234</v>
      </c>
      <c r="E815" s="174"/>
      <c r="F815" s="44"/>
      <c r="G815" s="181" t="s">
        <v>448</v>
      </c>
      <c r="H815" s="38" t="s">
        <v>354</v>
      </c>
      <c r="I815" s="282">
        <f>I816+I818+I820</f>
        <v>480</v>
      </c>
      <c r="J815" s="282">
        <f>J816+J818+J820</f>
        <v>0</v>
      </c>
      <c r="K815" s="282">
        <f>K816+K818+K820</f>
        <v>480</v>
      </c>
      <c r="L815" s="39">
        <f t="shared" ref="L815:M815" si="155">L816+L818+L820</f>
        <v>18000</v>
      </c>
      <c r="M815" s="39">
        <f t="shared" si="155"/>
        <v>18000</v>
      </c>
      <c r="N815" s="410"/>
      <c r="O815" s="196"/>
      <c r="P815" s="412"/>
      <c r="Q815" s="194"/>
      <c r="R815" s="194"/>
    </row>
    <row r="816" spans="1:18" ht="20.100000000000001" hidden="1" customHeight="1" x14ac:dyDescent="0.25">
      <c r="A816" s="174"/>
      <c r="B816" s="174"/>
      <c r="C816" s="174"/>
      <c r="D816" s="174"/>
      <c r="E816" s="171" t="s">
        <v>185</v>
      </c>
      <c r="F816" s="38"/>
      <c r="G816" s="181" t="s">
        <v>448</v>
      </c>
      <c r="H816" s="38" t="s">
        <v>186</v>
      </c>
      <c r="I816" s="282">
        <f>I817</f>
        <v>130</v>
      </c>
      <c r="J816" s="282">
        <f>J817</f>
        <v>0</v>
      </c>
      <c r="K816" s="282">
        <f>K817</f>
        <v>130</v>
      </c>
      <c r="L816" s="39">
        <f t="shared" ref="L816:M816" si="156">L817</f>
        <v>4000</v>
      </c>
      <c r="M816" s="39">
        <f t="shared" si="156"/>
        <v>4000</v>
      </c>
      <c r="N816" s="410"/>
      <c r="O816" s="196"/>
      <c r="P816" s="412"/>
      <c r="Q816" s="194"/>
      <c r="R816" s="194"/>
    </row>
    <row r="817" spans="1:18" ht="20.100000000000001" hidden="1" customHeight="1" x14ac:dyDescent="0.25">
      <c r="A817" s="174"/>
      <c r="B817" s="174"/>
      <c r="C817" s="174"/>
      <c r="D817" s="174"/>
      <c r="E817" s="171"/>
      <c r="F817" s="38" t="s">
        <v>187</v>
      </c>
      <c r="G817" s="181" t="s">
        <v>448</v>
      </c>
      <c r="H817" s="38" t="s">
        <v>186</v>
      </c>
      <c r="I817" s="282">
        <v>130</v>
      </c>
      <c r="J817" s="282">
        <f>K817-I817</f>
        <v>0</v>
      </c>
      <c r="K817" s="381">
        <v>130</v>
      </c>
      <c r="L817" s="34">
        <v>4000</v>
      </c>
      <c r="M817" s="34">
        <v>4000</v>
      </c>
      <c r="N817" s="410"/>
      <c r="O817" s="196"/>
      <c r="P817" s="412"/>
      <c r="Q817" s="194"/>
      <c r="R817" s="194"/>
    </row>
    <row r="818" spans="1:18" ht="20.100000000000001" hidden="1" customHeight="1" x14ac:dyDescent="0.25">
      <c r="A818" s="174"/>
      <c r="B818" s="174"/>
      <c r="C818" s="174"/>
      <c r="D818" s="174"/>
      <c r="E818" s="171" t="s">
        <v>188</v>
      </c>
      <c r="F818" s="38"/>
      <c r="G818" s="181" t="s">
        <v>448</v>
      </c>
      <c r="H818" s="38" t="s">
        <v>189</v>
      </c>
      <c r="I818" s="282">
        <f>I819</f>
        <v>150</v>
      </c>
      <c r="J818" s="282">
        <f>J819</f>
        <v>0</v>
      </c>
      <c r="K818" s="282">
        <f>K819</f>
        <v>150</v>
      </c>
      <c r="L818" s="39">
        <f t="shared" ref="L818:M818" si="157">L819</f>
        <v>4000</v>
      </c>
      <c r="M818" s="39">
        <f t="shared" si="157"/>
        <v>4000</v>
      </c>
      <c r="N818" s="410"/>
      <c r="O818" s="196"/>
      <c r="P818" s="412"/>
      <c r="Q818" s="194"/>
      <c r="R818" s="194"/>
    </row>
    <row r="819" spans="1:18" ht="20.100000000000001" hidden="1" customHeight="1" x14ac:dyDescent="0.25">
      <c r="A819" s="174"/>
      <c r="B819" s="174"/>
      <c r="C819" s="174"/>
      <c r="D819" s="174"/>
      <c r="E819" s="171"/>
      <c r="F819" s="38" t="s">
        <v>190</v>
      </c>
      <c r="G819" s="181" t="s">
        <v>448</v>
      </c>
      <c r="H819" s="38" t="s">
        <v>189</v>
      </c>
      <c r="I819" s="282">
        <v>150</v>
      </c>
      <c r="J819" s="282">
        <f>K819-I819</f>
        <v>0</v>
      </c>
      <c r="K819" s="381">
        <v>150</v>
      </c>
      <c r="L819" s="34">
        <v>4000</v>
      </c>
      <c r="M819" s="34">
        <v>4000</v>
      </c>
      <c r="N819" s="410"/>
      <c r="O819" s="196"/>
      <c r="P819" s="412"/>
      <c r="Q819" s="194"/>
      <c r="R819" s="194"/>
    </row>
    <row r="820" spans="1:18" ht="20.100000000000001" hidden="1" customHeight="1" x14ac:dyDescent="0.25">
      <c r="A820" s="174"/>
      <c r="B820" s="174"/>
      <c r="C820" s="174"/>
      <c r="D820" s="174"/>
      <c r="E820" s="171" t="s">
        <v>191</v>
      </c>
      <c r="F820" s="38"/>
      <c r="G820" s="181" t="s">
        <v>448</v>
      </c>
      <c r="H820" s="38" t="s">
        <v>192</v>
      </c>
      <c r="I820" s="282">
        <f>I821+I822</f>
        <v>200</v>
      </c>
      <c r="J820" s="282">
        <f>J821+J822</f>
        <v>0</v>
      </c>
      <c r="K820" s="282">
        <f>K821+K822</f>
        <v>200</v>
      </c>
      <c r="L820" s="39">
        <f t="shared" ref="L820:M820" si="158">L821+L822</f>
        <v>10000</v>
      </c>
      <c r="M820" s="39">
        <f t="shared" si="158"/>
        <v>10000</v>
      </c>
      <c r="N820" s="410"/>
      <c r="O820" s="196"/>
      <c r="P820" s="412"/>
      <c r="Q820" s="194"/>
      <c r="R820" s="194"/>
    </row>
    <row r="821" spans="1:18" ht="20.100000000000001" hidden="1" customHeight="1" x14ac:dyDescent="0.25">
      <c r="A821" s="174"/>
      <c r="B821" s="174"/>
      <c r="C821" s="174"/>
      <c r="D821" s="174"/>
      <c r="E821" s="171"/>
      <c r="F821" s="38" t="s">
        <v>193</v>
      </c>
      <c r="G821" s="181" t="s">
        <v>448</v>
      </c>
      <c r="H821" s="38" t="s">
        <v>192</v>
      </c>
      <c r="I821" s="282">
        <v>0</v>
      </c>
      <c r="J821" s="282">
        <v>0</v>
      </c>
      <c r="K821" s="282">
        <v>0</v>
      </c>
      <c r="L821" s="34">
        <v>0</v>
      </c>
      <c r="M821" s="34">
        <v>0</v>
      </c>
      <c r="N821" s="410"/>
      <c r="O821" s="196"/>
      <c r="P821" s="412"/>
      <c r="Q821" s="194"/>
      <c r="R821" s="194"/>
    </row>
    <row r="822" spans="1:18" ht="20.100000000000001" hidden="1" customHeight="1" x14ac:dyDescent="0.25">
      <c r="A822" s="174"/>
      <c r="B822" s="174"/>
      <c r="C822" s="174"/>
      <c r="D822" s="174"/>
      <c r="E822" s="171"/>
      <c r="F822" s="38" t="s">
        <v>194</v>
      </c>
      <c r="G822" s="181" t="s">
        <v>448</v>
      </c>
      <c r="H822" s="38" t="s">
        <v>195</v>
      </c>
      <c r="I822" s="282">
        <v>200</v>
      </c>
      <c r="J822" s="282">
        <f>K822-I822</f>
        <v>0</v>
      </c>
      <c r="K822" s="381">
        <v>200</v>
      </c>
      <c r="L822" s="34">
        <v>10000</v>
      </c>
      <c r="M822" s="34">
        <v>10000</v>
      </c>
      <c r="N822" s="410"/>
      <c r="O822" s="196"/>
      <c r="P822" s="412"/>
      <c r="Q822" s="194"/>
      <c r="R822" s="194"/>
    </row>
    <row r="823" spans="1:18" ht="20.100000000000001" hidden="1" customHeight="1" x14ac:dyDescent="0.25">
      <c r="A823" s="174"/>
      <c r="B823" s="174"/>
      <c r="C823" s="174"/>
      <c r="D823" s="174">
        <v>3237</v>
      </c>
      <c r="E823" s="174"/>
      <c r="F823" s="44"/>
      <c r="G823" s="181" t="s">
        <v>448</v>
      </c>
      <c r="H823" s="38" t="s">
        <v>208</v>
      </c>
      <c r="I823" s="282">
        <f>I824+I826</f>
        <v>2030.84</v>
      </c>
      <c r="J823" s="282">
        <f>J824+J826</f>
        <v>0</v>
      </c>
      <c r="K823" s="282">
        <f>K824+K826</f>
        <v>2030.84</v>
      </c>
      <c r="L823" s="39">
        <f t="shared" ref="L823:M824" si="159">L824</f>
        <v>15500</v>
      </c>
      <c r="M823" s="39">
        <f t="shared" si="159"/>
        <v>15500</v>
      </c>
      <c r="N823" s="410"/>
      <c r="O823" s="196"/>
      <c r="P823" s="412"/>
      <c r="Q823" s="194"/>
      <c r="R823" s="194"/>
    </row>
    <row r="824" spans="1:18" ht="20.100000000000001" hidden="1" customHeight="1" x14ac:dyDescent="0.25">
      <c r="A824" s="174"/>
      <c r="B824" s="174"/>
      <c r="C824" s="174"/>
      <c r="D824" s="174"/>
      <c r="E824" s="171" t="s">
        <v>209</v>
      </c>
      <c r="F824" s="38"/>
      <c r="G824" s="181" t="s">
        <v>448</v>
      </c>
      <c r="H824" s="38" t="s">
        <v>210</v>
      </c>
      <c r="I824" s="282">
        <f>I825</f>
        <v>1990.84</v>
      </c>
      <c r="J824" s="282">
        <f t="shared" ref="J824" si="160">J825</f>
        <v>0</v>
      </c>
      <c r="K824" s="282">
        <f>K825</f>
        <v>1990.84</v>
      </c>
      <c r="L824" s="39">
        <f t="shared" si="159"/>
        <v>15500</v>
      </c>
      <c r="M824" s="39">
        <f t="shared" si="159"/>
        <v>15500</v>
      </c>
      <c r="N824" s="410"/>
      <c r="O824" s="196"/>
      <c r="P824" s="412"/>
      <c r="Q824" s="194"/>
      <c r="R824" s="194"/>
    </row>
    <row r="825" spans="1:18" ht="20.100000000000001" hidden="1" customHeight="1" x14ac:dyDescent="0.25">
      <c r="A825" s="174"/>
      <c r="B825" s="174"/>
      <c r="C825" s="174"/>
      <c r="D825" s="174"/>
      <c r="E825" s="171"/>
      <c r="F825" s="38" t="s">
        <v>211</v>
      </c>
      <c r="G825" s="181" t="s">
        <v>448</v>
      </c>
      <c r="H825" s="38" t="s">
        <v>210</v>
      </c>
      <c r="I825" s="282">
        <v>1990.84</v>
      </c>
      <c r="J825" s="282">
        <f>K825-I825</f>
        <v>0</v>
      </c>
      <c r="K825" s="381">
        <v>1990.84</v>
      </c>
      <c r="L825" s="39">
        <v>15500</v>
      </c>
      <c r="M825" s="39">
        <v>15500</v>
      </c>
      <c r="N825" s="410"/>
      <c r="O825" s="196"/>
      <c r="P825" s="412"/>
      <c r="Q825" s="194"/>
      <c r="R825" s="194"/>
    </row>
    <row r="826" spans="1:18" ht="20.100000000000001" hidden="1" customHeight="1" x14ac:dyDescent="0.25">
      <c r="A826" s="174"/>
      <c r="B826" s="174"/>
      <c r="C826" s="174"/>
      <c r="D826" s="174"/>
      <c r="E826" s="171" t="s">
        <v>212</v>
      </c>
      <c r="F826" s="38"/>
      <c r="G826" s="181" t="s">
        <v>448</v>
      </c>
      <c r="H826" s="38" t="s">
        <v>213</v>
      </c>
      <c r="I826" s="282">
        <f>I827</f>
        <v>40</v>
      </c>
      <c r="J826" s="282">
        <f>J827</f>
        <v>0</v>
      </c>
      <c r="K826" s="282">
        <f>K827</f>
        <v>40</v>
      </c>
      <c r="L826" s="34"/>
      <c r="M826" s="34"/>
      <c r="N826" s="410"/>
      <c r="O826" s="196"/>
      <c r="P826" s="412"/>
      <c r="Q826" s="194"/>
      <c r="R826" s="194"/>
    </row>
    <row r="827" spans="1:18" ht="20.100000000000001" hidden="1" customHeight="1" x14ac:dyDescent="0.25">
      <c r="A827" s="174"/>
      <c r="B827" s="174"/>
      <c r="C827" s="174"/>
      <c r="D827" s="174"/>
      <c r="E827" s="171"/>
      <c r="F827" s="38" t="s">
        <v>214</v>
      </c>
      <c r="G827" s="181" t="s">
        <v>448</v>
      </c>
      <c r="H827" s="38" t="s">
        <v>213</v>
      </c>
      <c r="I827" s="282">
        <v>40</v>
      </c>
      <c r="J827" s="282">
        <f>K827-I827</f>
        <v>0</v>
      </c>
      <c r="K827" s="381">
        <v>40</v>
      </c>
      <c r="L827" s="34"/>
      <c r="M827" s="34"/>
      <c r="N827" s="410"/>
      <c r="O827" s="196"/>
      <c r="P827" s="412"/>
      <c r="Q827" s="194"/>
      <c r="R827" s="194"/>
    </row>
    <row r="828" spans="1:18" ht="20.100000000000001" hidden="1" customHeight="1" x14ac:dyDescent="0.25">
      <c r="A828" s="174"/>
      <c r="B828" s="174"/>
      <c r="C828" s="174"/>
      <c r="D828" s="174"/>
      <c r="E828" s="171" t="s">
        <v>215</v>
      </c>
      <c r="F828" s="38"/>
      <c r="G828" s="181" t="s">
        <v>448</v>
      </c>
      <c r="H828" s="38" t="s">
        <v>216</v>
      </c>
      <c r="I828" s="282"/>
      <c r="J828" s="282"/>
      <c r="K828" s="282"/>
      <c r="L828" s="34"/>
      <c r="M828" s="34"/>
      <c r="N828" s="410"/>
      <c r="O828" s="196"/>
      <c r="P828" s="412"/>
      <c r="Q828" s="194"/>
      <c r="R828" s="194"/>
    </row>
    <row r="829" spans="1:18" ht="20.100000000000001" hidden="1" customHeight="1" x14ac:dyDescent="0.25">
      <c r="A829" s="174"/>
      <c r="B829" s="174"/>
      <c r="C829" s="174"/>
      <c r="D829" s="174"/>
      <c r="E829" s="171"/>
      <c r="F829" s="38" t="s">
        <v>217</v>
      </c>
      <c r="G829" s="181" t="s">
        <v>448</v>
      </c>
      <c r="H829" s="38" t="s">
        <v>216</v>
      </c>
      <c r="I829" s="282"/>
      <c r="J829" s="282"/>
      <c r="K829" s="282"/>
      <c r="L829" s="34"/>
      <c r="M829" s="34"/>
      <c r="N829" s="410"/>
      <c r="O829" s="196"/>
      <c r="P829" s="412"/>
      <c r="Q829" s="194"/>
      <c r="R829" s="194"/>
    </row>
    <row r="830" spans="1:18" ht="20.100000000000001" hidden="1" customHeight="1" x14ac:dyDescent="0.25">
      <c r="A830" s="174"/>
      <c r="B830" s="174"/>
      <c r="C830" s="174"/>
      <c r="D830" s="175">
        <v>3238</v>
      </c>
      <c r="E830" s="175"/>
      <c r="F830" s="56"/>
      <c r="G830" s="181" t="s">
        <v>448</v>
      </c>
      <c r="H830" s="53" t="s">
        <v>41</v>
      </c>
      <c r="I830" s="282">
        <f t="shared" ref="I830:M831" si="161">I831</f>
        <v>0</v>
      </c>
      <c r="J830" s="282">
        <f t="shared" si="161"/>
        <v>0</v>
      </c>
      <c r="K830" s="282">
        <f t="shared" si="161"/>
        <v>0</v>
      </c>
      <c r="L830" s="39">
        <f t="shared" si="161"/>
        <v>2500</v>
      </c>
      <c r="M830" s="39">
        <f t="shared" si="161"/>
        <v>2500</v>
      </c>
      <c r="N830" s="410"/>
      <c r="O830" s="196"/>
      <c r="P830" s="412"/>
      <c r="Q830" s="194"/>
      <c r="R830" s="194"/>
    </row>
    <row r="831" spans="1:18" ht="20.100000000000001" hidden="1" customHeight="1" x14ac:dyDescent="0.25">
      <c r="A831" s="174"/>
      <c r="B831" s="174"/>
      <c r="C831" s="174"/>
      <c r="D831" s="175"/>
      <c r="E831" s="171" t="s">
        <v>219</v>
      </c>
      <c r="F831" s="38"/>
      <c r="G831" s="181" t="s">
        <v>448</v>
      </c>
      <c r="H831" s="38" t="s">
        <v>220</v>
      </c>
      <c r="I831" s="282">
        <f t="shared" si="161"/>
        <v>0</v>
      </c>
      <c r="J831" s="282">
        <f t="shared" si="161"/>
        <v>0</v>
      </c>
      <c r="K831" s="282">
        <f t="shared" si="161"/>
        <v>0</v>
      </c>
      <c r="L831" s="39">
        <f t="shared" si="161"/>
        <v>2500</v>
      </c>
      <c r="M831" s="39">
        <f t="shared" si="161"/>
        <v>2500</v>
      </c>
      <c r="N831" s="410"/>
      <c r="O831" s="196"/>
    </row>
    <row r="832" spans="1:18" ht="20.100000000000001" hidden="1" customHeight="1" x14ac:dyDescent="0.25">
      <c r="A832" s="174"/>
      <c r="B832" s="174"/>
      <c r="C832" s="174"/>
      <c r="D832" s="175"/>
      <c r="E832" s="171"/>
      <c r="F832" s="38" t="s">
        <v>221</v>
      </c>
      <c r="G832" s="181" t="s">
        <v>448</v>
      </c>
      <c r="H832" s="38" t="s">
        <v>220</v>
      </c>
      <c r="I832" s="282">
        <v>0</v>
      </c>
      <c r="J832" s="282">
        <f>K832-I832</f>
        <v>0</v>
      </c>
      <c r="K832" s="282">
        <v>0</v>
      </c>
      <c r="L832" s="34">
        <v>2500</v>
      </c>
      <c r="M832" s="34">
        <v>2500</v>
      </c>
      <c r="N832" s="410"/>
      <c r="O832" s="196"/>
    </row>
    <row r="833" spans="1:18" ht="20.100000000000001" hidden="1" customHeight="1" x14ac:dyDescent="0.25">
      <c r="A833" s="174"/>
      <c r="B833" s="174"/>
      <c r="C833" s="174"/>
      <c r="D833" s="175">
        <v>3239</v>
      </c>
      <c r="E833" s="175"/>
      <c r="F833" s="56"/>
      <c r="G833" s="181" t="s">
        <v>448</v>
      </c>
      <c r="H833" s="53" t="s">
        <v>42</v>
      </c>
      <c r="I833" s="282">
        <f>I838+I834</f>
        <v>50</v>
      </c>
      <c r="J833" s="282">
        <f>J834+J838</f>
        <v>0</v>
      </c>
      <c r="K833" s="282">
        <f>K834+K838</f>
        <v>50</v>
      </c>
      <c r="L833" s="39">
        <f t="shared" ref="L833:M833" si="162">L838</f>
        <v>1000</v>
      </c>
      <c r="M833" s="39">
        <f t="shared" si="162"/>
        <v>1000</v>
      </c>
      <c r="N833" s="410"/>
      <c r="O833" s="196"/>
    </row>
    <row r="834" spans="1:18" ht="30" hidden="1" customHeight="1" x14ac:dyDescent="0.25">
      <c r="A834" s="174"/>
      <c r="B834" s="174"/>
      <c r="C834" s="174"/>
      <c r="D834" s="175"/>
      <c r="E834" s="171" t="s">
        <v>222</v>
      </c>
      <c r="F834" s="38"/>
      <c r="G834" s="181" t="s">
        <v>448</v>
      </c>
      <c r="H834" s="38" t="s">
        <v>223</v>
      </c>
      <c r="I834" s="282">
        <f>I835</f>
        <v>0</v>
      </c>
      <c r="J834" s="282">
        <f>J835</f>
        <v>0</v>
      </c>
      <c r="K834" s="282">
        <f>K835</f>
        <v>0</v>
      </c>
      <c r="L834" s="34"/>
      <c r="M834" s="34"/>
      <c r="N834" s="410"/>
      <c r="O834" s="196"/>
    </row>
    <row r="835" spans="1:18" ht="30" hidden="1" customHeight="1" x14ac:dyDescent="0.25">
      <c r="A835" s="174"/>
      <c r="B835" s="174"/>
      <c r="C835" s="174"/>
      <c r="D835" s="175"/>
      <c r="E835" s="171"/>
      <c r="F835" s="38" t="s">
        <v>224</v>
      </c>
      <c r="G835" s="181" t="s">
        <v>448</v>
      </c>
      <c r="H835" s="38" t="s">
        <v>223</v>
      </c>
      <c r="I835" s="282">
        <v>0</v>
      </c>
      <c r="J835" s="282">
        <f>K835-I835</f>
        <v>0</v>
      </c>
      <c r="K835" s="381">
        <v>0</v>
      </c>
      <c r="L835" s="34"/>
      <c r="M835" s="34"/>
      <c r="N835" s="410"/>
      <c r="O835" s="196"/>
    </row>
    <row r="836" spans="1:18" ht="20.100000000000001" hidden="1" customHeight="1" x14ac:dyDescent="0.25">
      <c r="A836" s="174"/>
      <c r="B836" s="174"/>
      <c r="C836" s="174"/>
      <c r="D836" s="175"/>
      <c r="E836" s="171" t="s">
        <v>225</v>
      </c>
      <c r="F836" s="38"/>
      <c r="G836" s="181" t="s">
        <v>448</v>
      </c>
      <c r="H836" s="38" t="s">
        <v>226</v>
      </c>
      <c r="I836" s="282"/>
      <c r="J836" s="282"/>
      <c r="K836" s="282"/>
      <c r="L836" s="34"/>
      <c r="M836" s="34"/>
      <c r="N836" s="410"/>
      <c r="O836" s="196"/>
    </row>
    <row r="837" spans="1:18" ht="20.100000000000001" hidden="1" customHeight="1" x14ac:dyDescent="0.25">
      <c r="A837" s="174"/>
      <c r="B837" s="174"/>
      <c r="C837" s="174"/>
      <c r="D837" s="175"/>
      <c r="E837" s="171"/>
      <c r="F837" s="38" t="s">
        <v>227</v>
      </c>
      <c r="G837" s="181" t="s">
        <v>448</v>
      </c>
      <c r="H837" s="38" t="s">
        <v>226</v>
      </c>
      <c r="I837" s="282"/>
      <c r="J837" s="282"/>
      <c r="K837" s="282"/>
      <c r="L837" s="34"/>
      <c r="M837" s="34"/>
      <c r="N837" s="410"/>
      <c r="O837" s="196"/>
    </row>
    <row r="838" spans="1:18" ht="20.100000000000001" hidden="1" customHeight="1" x14ac:dyDescent="0.25">
      <c r="A838" s="174"/>
      <c r="B838" s="174"/>
      <c r="C838" s="174"/>
      <c r="D838" s="175"/>
      <c r="E838" s="171" t="s">
        <v>228</v>
      </c>
      <c r="F838" s="38"/>
      <c r="G838" s="181" t="s">
        <v>448</v>
      </c>
      <c r="H838" s="38" t="s">
        <v>229</v>
      </c>
      <c r="I838" s="282">
        <f>I839</f>
        <v>50</v>
      </c>
      <c r="J838" s="282">
        <f>J839</f>
        <v>0</v>
      </c>
      <c r="K838" s="282">
        <f>K839</f>
        <v>50</v>
      </c>
      <c r="L838" s="39">
        <f t="shared" ref="L838:M838" si="163">L839</f>
        <v>1000</v>
      </c>
      <c r="M838" s="39">
        <f t="shared" si="163"/>
        <v>1000</v>
      </c>
      <c r="N838" s="410"/>
      <c r="O838" s="196"/>
    </row>
    <row r="839" spans="1:18" ht="20.100000000000001" hidden="1" customHeight="1" x14ac:dyDescent="0.25">
      <c r="A839" s="174"/>
      <c r="B839" s="174"/>
      <c r="C839" s="174"/>
      <c r="D839" s="175"/>
      <c r="E839" s="171"/>
      <c r="F839" s="38" t="s">
        <v>230</v>
      </c>
      <c r="G839" s="181" t="s">
        <v>448</v>
      </c>
      <c r="H839" s="38" t="s">
        <v>229</v>
      </c>
      <c r="I839" s="282">
        <v>50</v>
      </c>
      <c r="J839" s="282">
        <f>K839-I839</f>
        <v>0</v>
      </c>
      <c r="K839" s="381">
        <v>50</v>
      </c>
      <c r="L839" s="34">
        <v>1000</v>
      </c>
      <c r="M839" s="34">
        <v>1000</v>
      </c>
      <c r="N839" s="410"/>
      <c r="O839" s="196"/>
    </row>
    <row r="840" spans="1:18" ht="20.100000000000001" hidden="1" customHeight="1" x14ac:dyDescent="0.25">
      <c r="A840" s="174"/>
      <c r="B840" s="174"/>
      <c r="C840" s="174"/>
      <c r="D840" s="175"/>
      <c r="E840" s="171" t="s">
        <v>231</v>
      </c>
      <c r="F840" s="38"/>
      <c r="G840" s="181" t="s">
        <v>448</v>
      </c>
      <c r="H840" s="38" t="s">
        <v>232</v>
      </c>
      <c r="I840" s="282"/>
      <c r="J840" s="282"/>
      <c r="K840" s="282"/>
      <c r="L840" s="31"/>
      <c r="M840" s="31"/>
      <c r="N840" s="410"/>
      <c r="O840" s="196"/>
    </row>
    <row r="841" spans="1:18" ht="20.100000000000001" hidden="1" customHeight="1" x14ac:dyDescent="0.25">
      <c r="A841" s="174"/>
      <c r="B841" s="174"/>
      <c r="C841" s="174"/>
      <c r="D841" s="175"/>
      <c r="E841" s="171"/>
      <c r="F841" s="38" t="s">
        <v>233</v>
      </c>
      <c r="G841" s="181" t="s">
        <v>448</v>
      </c>
      <c r="H841" s="38" t="s">
        <v>232</v>
      </c>
      <c r="I841" s="282"/>
      <c r="J841" s="282"/>
      <c r="K841" s="282"/>
      <c r="L841" s="31"/>
      <c r="M841" s="31"/>
      <c r="N841" s="410"/>
      <c r="O841" s="196"/>
    </row>
    <row r="842" spans="1:18" ht="20.100000000000001" hidden="1" customHeight="1" x14ac:dyDescent="0.25">
      <c r="A842" s="174"/>
      <c r="B842" s="172">
        <v>34</v>
      </c>
      <c r="C842" s="174"/>
      <c r="D842" s="175"/>
      <c r="E842" s="171"/>
      <c r="F842" s="38"/>
      <c r="G842" s="181"/>
      <c r="H842" s="43" t="s">
        <v>51</v>
      </c>
      <c r="I842" s="281">
        <f t="shared" ref="I842:M845" si="164">I843</f>
        <v>0</v>
      </c>
      <c r="J842" s="281">
        <f t="shared" si="164"/>
        <v>0</v>
      </c>
      <c r="K842" s="281">
        <f t="shared" si="164"/>
        <v>0</v>
      </c>
      <c r="L842" s="45">
        <f t="shared" si="164"/>
        <v>500</v>
      </c>
      <c r="M842" s="45">
        <f t="shared" si="164"/>
        <v>500</v>
      </c>
      <c r="N842" s="410"/>
      <c r="O842" s="196"/>
    </row>
    <row r="843" spans="1:18" s="154" customFormat="1" ht="20.100000000000001" hidden="1" customHeight="1" x14ac:dyDescent="0.25">
      <c r="A843" s="219"/>
      <c r="B843" s="176"/>
      <c r="C843" s="172">
        <v>343</v>
      </c>
      <c r="D843" s="175"/>
      <c r="E843" s="171"/>
      <c r="F843" s="38"/>
      <c r="G843" s="181" t="s">
        <v>448</v>
      </c>
      <c r="H843" s="43" t="s">
        <v>52</v>
      </c>
      <c r="I843" s="281">
        <f t="shared" si="164"/>
        <v>0</v>
      </c>
      <c r="J843" s="281">
        <f t="shared" si="164"/>
        <v>0</v>
      </c>
      <c r="K843" s="281">
        <f t="shared" si="164"/>
        <v>0</v>
      </c>
      <c r="L843" s="151">
        <f t="shared" si="164"/>
        <v>500</v>
      </c>
      <c r="M843" s="151">
        <f t="shared" si="164"/>
        <v>500</v>
      </c>
      <c r="N843" s="410"/>
      <c r="O843" s="196"/>
      <c r="P843" s="411"/>
      <c r="Q843" s="153"/>
      <c r="R843" s="153"/>
    </row>
    <row r="844" spans="1:18" ht="28.5" hidden="1" customHeight="1" x14ac:dyDescent="0.25">
      <c r="A844" s="174"/>
      <c r="B844" s="174"/>
      <c r="C844" s="174"/>
      <c r="D844" s="175">
        <v>3431</v>
      </c>
      <c r="E844" s="171"/>
      <c r="F844" s="38"/>
      <c r="G844" s="181" t="s">
        <v>448</v>
      </c>
      <c r="H844" s="38" t="s">
        <v>53</v>
      </c>
      <c r="I844" s="282">
        <f t="shared" si="164"/>
        <v>0</v>
      </c>
      <c r="J844" s="282">
        <f t="shared" si="164"/>
        <v>0</v>
      </c>
      <c r="K844" s="282">
        <f t="shared" si="164"/>
        <v>0</v>
      </c>
      <c r="L844" s="39">
        <f t="shared" si="164"/>
        <v>500</v>
      </c>
      <c r="M844" s="39">
        <f t="shared" si="164"/>
        <v>500</v>
      </c>
      <c r="N844" s="410"/>
      <c r="O844" s="196"/>
    </row>
    <row r="845" spans="1:18" ht="20.100000000000001" hidden="1" customHeight="1" x14ac:dyDescent="0.25">
      <c r="A845" s="174"/>
      <c r="B845" s="174"/>
      <c r="C845" s="174"/>
      <c r="D845" s="174"/>
      <c r="E845" s="171" t="s">
        <v>276</v>
      </c>
      <c r="F845" s="38"/>
      <c r="G845" s="181" t="s">
        <v>448</v>
      </c>
      <c r="H845" s="38" t="s">
        <v>277</v>
      </c>
      <c r="I845" s="282">
        <f>I846</f>
        <v>0</v>
      </c>
      <c r="J845" s="282">
        <f>K845-I845</f>
        <v>0</v>
      </c>
      <c r="K845" s="282">
        <f>K846</f>
        <v>0</v>
      </c>
      <c r="L845" s="39">
        <f t="shared" si="164"/>
        <v>500</v>
      </c>
      <c r="M845" s="39">
        <f t="shared" si="164"/>
        <v>500</v>
      </c>
      <c r="N845" s="410"/>
      <c r="O845" s="196"/>
    </row>
    <row r="846" spans="1:18" ht="20.100000000000001" hidden="1" customHeight="1" x14ac:dyDescent="0.25">
      <c r="A846" s="174"/>
      <c r="B846" s="174"/>
      <c r="C846" s="174"/>
      <c r="D846" s="174"/>
      <c r="E846" s="171"/>
      <c r="F846" s="38" t="s">
        <v>278</v>
      </c>
      <c r="G846" s="181" t="s">
        <v>448</v>
      </c>
      <c r="H846" s="38" t="s">
        <v>277</v>
      </c>
      <c r="I846" s="282">
        <v>0</v>
      </c>
      <c r="J846" s="282">
        <f>K846-I846</f>
        <v>0</v>
      </c>
      <c r="K846" s="282">
        <v>0</v>
      </c>
      <c r="L846" s="31">
        <v>500</v>
      </c>
      <c r="M846" s="31">
        <v>500</v>
      </c>
      <c r="N846" s="410"/>
      <c r="O846" s="196"/>
    </row>
    <row r="847" spans="1:18" s="21" customFormat="1" ht="20.100000000000001" hidden="1" customHeight="1" x14ac:dyDescent="0.25">
      <c r="A847" s="172"/>
      <c r="B847" s="172">
        <v>38</v>
      </c>
      <c r="C847" s="172"/>
      <c r="D847" s="223"/>
      <c r="E847" s="223"/>
      <c r="F847" s="224"/>
      <c r="G847" s="222"/>
      <c r="H847" s="225" t="s">
        <v>57</v>
      </c>
      <c r="I847" s="281">
        <f t="shared" ref="I847:K850" si="165">I848</f>
        <v>0</v>
      </c>
      <c r="J847" s="281">
        <f t="shared" si="165"/>
        <v>0</v>
      </c>
      <c r="K847" s="281">
        <f t="shared" si="165"/>
        <v>0</v>
      </c>
      <c r="L847" s="31"/>
      <c r="M847" s="31"/>
      <c r="N847" s="410"/>
      <c r="O847" s="196"/>
      <c r="P847" s="270"/>
      <c r="Q847" s="20"/>
      <c r="R847" s="20"/>
    </row>
    <row r="848" spans="1:18" s="21" customFormat="1" ht="20.100000000000001" hidden="1" customHeight="1" x14ac:dyDescent="0.25">
      <c r="A848" s="172"/>
      <c r="B848" s="172"/>
      <c r="C848" s="172">
        <v>381</v>
      </c>
      <c r="D848" s="223"/>
      <c r="E848" s="223"/>
      <c r="F848" s="224"/>
      <c r="G848" s="222"/>
      <c r="H848" s="225" t="s">
        <v>355</v>
      </c>
      <c r="I848" s="281">
        <f t="shared" si="165"/>
        <v>0</v>
      </c>
      <c r="J848" s="281">
        <f t="shared" si="165"/>
        <v>0</v>
      </c>
      <c r="K848" s="281">
        <f t="shared" si="165"/>
        <v>0</v>
      </c>
      <c r="L848" s="31"/>
      <c r="M848" s="31"/>
      <c r="N848" s="410"/>
      <c r="O848" s="196"/>
      <c r="P848" s="270"/>
      <c r="Q848" s="20"/>
      <c r="R848" s="20"/>
    </row>
    <row r="849" spans="1:20" ht="20.100000000000001" hidden="1" customHeight="1" x14ac:dyDescent="0.25">
      <c r="A849" s="174"/>
      <c r="B849" s="174"/>
      <c r="C849" s="174"/>
      <c r="D849" s="175">
        <v>3811</v>
      </c>
      <c r="E849" s="175"/>
      <c r="F849" s="56"/>
      <c r="G849" s="181">
        <v>63</v>
      </c>
      <c r="H849" s="53" t="s">
        <v>59</v>
      </c>
      <c r="I849" s="282">
        <f t="shared" si="165"/>
        <v>0</v>
      </c>
      <c r="J849" s="282">
        <f t="shared" si="165"/>
        <v>0</v>
      </c>
      <c r="K849" s="282">
        <f t="shared" si="165"/>
        <v>0</v>
      </c>
      <c r="L849" s="31"/>
      <c r="M849" s="31"/>
      <c r="N849" s="410"/>
      <c r="O849" s="196"/>
    </row>
    <row r="850" spans="1:20" ht="30" hidden="1" customHeight="1" x14ac:dyDescent="0.25">
      <c r="A850" s="174"/>
      <c r="B850" s="174"/>
      <c r="C850" s="174"/>
      <c r="D850" s="175"/>
      <c r="E850" s="171" t="s">
        <v>356</v>
      </c>
      <c r="F850" s="38"/>
      <c r="G850" s="181">
        <v>63</v>
      </c>
      <c r="H850" s="38" t="s">
        <v>357</v>
      </c>
      <c r="I850" s="282">
        <f t="shared" si="165"/>
        <v>0</v>
      </c>
      <c r="J850" s="282">
        <f t="shared" si="165"/>
        <v>0</v>
      </c>
      <c r="K850" s="282">
        <f t="shared" si="165"/>
        <v>0</v>
      </c>
      <c r="L850" s="31"/>
      <c r="M850" s="31"/>
      <c r="N850" s="410"/>
      <c r="O850" s="196"/>
    </row>
    <row r="851" spans="1:20" ht="30" hidden="1" customHeight="1" x14ac:dyDescent="0.25">
      <c r="A851" s="174"/>
      <c r="B851" s="174"/>
      <c r="C851" s="174"/>
      <c r="D851" s="175"/>
      <c r="E851" s="171"/>
      <c r="F851" s="38" t="s">
        <v>358</v>
      </c>
      <c r="G851" s="181">
        <v>63</v>
      </c>
      <c r="H851" s="38" t="s">
        <v>357</v>
      </c>
      <c r="I851" s="282">
        <v>0</v>
      </c>
      <c r="J851" s="282">
        <v>0</v>
      </c>
      <c r="K851" s="282">
        <f>I851+J851</f>
        <v>0</v>
      </c>
      <c r="L851" s="31"/>
      <c r="M851" s="31"/>
      <c r="N851" s="410"/>
      <c r="O851" s="196"/>
    </row>
    <row r="852" spans="1:20" ht="30" hidden="1" customHeight="1" x14ac:dyDescent="0.25">
      <c r="A852" s="172"/>
      <c r="B852" s="172"/>
      <c r="C852" s="172"/>
      <c r="D852" s="172"/>
      <c r="E852" s="172"/>
      <c r="F852" s="42"/>
      <c r="G852" s="211"/>
      <c r="H852" s="216" t="s">
        <v>441</v>
      </c>
      <c r="I852" s="282"/>
      <c r="J852" s="282"/>
      <c r="K852" s="282"/>
      <c r="L852" s="31"/>
      <c r="M852" s="31"/>
      <c r="N852" s="410"/>
      <c r="O852" s="196"/>
    </row>
    <row r="853" spans="1:20" ht="30" hidden="1" customHeight="1" x14ac:dyDescent="0.25">
      <c r="A853" s="172"/>
      <c r="B853" s="172"/>
      <c r="C853" s="172"/>
      <c r="D853" s="172"/>
      <c r="E853" s="172"/>
      <c r="F853" s="42"/>
      <c r="G853" s="221"/>
      <c r="H853" s="42" t="s">
        <v>439</v>
      </c>
      <c r="I853" s="283"/>
      <c r="J853" s="283"/>
      <c r="K853" s="283"/>
      <c r="L853" s="31"/>
      <c r="M853" s="31"/>
      <c r="N853" s="410"/>
      <c r="O853" s="196"/>
    </row>
    <row r="854" spans="1:20" ht="30" hidden="1" customHeight="1" x14ac:dyDescent="0.25">
      <c r="A854" s="172">
        <v>3</v>
      </c>
      <c r="B854" s="172"/>
      <c r="C854" s="172"/>
      <c r="D854" s="172"/>
      <c r="E854" s="172"/>
      <c r="F854" s="42"/>
      <c r="G854" s="211"/>
      <c r="H854" s="43" t="s">
        <v>81</v>
      </c>
      <c r="I854" s="281">
        <f>I855+I887+I976+I981</f>
        <v>0</v>
      </c>
      <c r="J854" s="281">
        <f>J855+J887+J976+J981</f>
        <v>0</v>
      </c>
      <c r="K854" s="281">
        <f>K855+K887+K976+K981</f>
        <v>0</v>
      </c>
      <c r="L854" s="31"/>
      <c r="M854" s="31"/>
      <c r="N854" s="410"/>
      <c r="O854" s="196"/>
      <c r="P854" s="195"/>
    </row>
    <row r="855" spans="1:20" ht="30" hidden="1" customHeight="1" x14ac:dyDescent="0.25">
      <c r="A855" s="172"/>
      <c r="B855" s="172">
        <v>31</v>
      </c>
      <c r="C855" s="172"/>
      <c r="D855" s="172"/>
      <c r="E855" s="172"/>
      <c r="F855" s="42"/>
      <c r="G855" s="211"/>
      <c r="H855" s="43" t="s">
        <v>13</v>
      </c>
      <c r="I855" s="281">
        <f>I856+I866+I878</f>
        <v>0</v>
      </c>
      <c r="J855" s="281">
        <f>J856+J866+J878</f>
        <v>0</v>
      </c>
      <c r="K855" s="281">
        <f>K856+K866+K878</f>
        <v>0</v>
      </c>
      <c r="L855" s="31"/>
      <c r="M855" s="31"/>
      <c r="N855" s="410"/>
      <c r="O855" s="196"/>
    </row>
    <row r="856" spans="1:20" s="154" customFormat="1" ht="30" hidden="1" customHeight="1" x14ac:dyDescent="0.25">
      <c r="A856" s="176"/>
      <c r="B856" s="176"/>
      <c r="C856" s="172">
        <v>311</v>
      </c>
      <c r="D856" s="172"/>
      <c r="E856" s="172"/>
      <c r="F856" s="42"/>
      <c r="G856" s="211"/>
      <c r="H856" s="43" t="s">
        <v>14</v>
      </c>
      <c r="I856" s="281">
        <f>I857+I863</f>
        <v>0</v>
      </c>
      <c r="J856" s="281">
        <f>J857+J863</f>
        <v>0</v>
      </c>
      <c r="K856" s="281">
        <f>K857+K863</f>
        <v>0</v>
      </c>
      <c r="L856" s="148"/>
      <c r="M856" s="148"/>
      <c r="N856" s="410"/>
      <c r="O856" s="196"/>
      <c r="P856" s="411"/>
      <c r="Q856" s="153"/>
      <c r="R856" s="153"/>
    </row>
    <row r="857" spans="1:20" ht="30" hidden="1" customHeight="1" x14ac:dyDescent="0.25">
      <c r="A857" s="174"/>
      <c r="B857" s="174"/>
      <c r="C857" s="174"/>
      <c r="D857" s="174">
        <v>3111</v>
      </c>
      <c r="E857" s="174"/>
      <c r="F857" s="44"/>
      <c r="G857" s="181" t="s">
        <v>445</v>
      </c>
      <c r="H857" s="38" t="s">
        <v>15</v>
      </c>
      <c r="I857" s="282">
        <f t="shared" ref="I857:K858" si="166">I858</f>
        <v>0</v>
      </c>
      <c r="J857" s="282">
        <f t="shared" si="166"/>
        <v>0</v>
      </c>
      <c r="K857" s="282">
        <f t="shared" si="166"/>
        <v>0</v>
      </c>
      <c r="L857" s="31"/>
      <c r="M857" s="31"/>
      <c r="N857" s="410"/>
      <c r="O857" s="196"/>
      <c r="P857" s="68"/>
    </row>
    <row r="858" spans="1:20" ht="30" hidden="1" customHeight="1" x14ac:dyDescent="0.25">
      <c r="A858" s="174"/>
      <c r="B858" s="174"/>
      <c r="C858" s="174"/>
      <c r="D858" s="174"/>
      <c r="E858" s="171" t="s">
        <v>290</v>
      </c>
      <c r="F858" s="38"/>
      <c r="G858" s="181" t="s">
        <v>445</v>
      </c>
      <c r="H858" s="38" t="s">
        <v>291</v>
      </c>
      <c r="I858" s="282">
        <f t="shared" si="166"/>
        <v>0</v>
      </c>
      <c r="J858" s="282">
        <f t="shared" si="166"/>
        <v>0</v>
      </c>
      <c r="K858" s="282">
        <f t="shared" si="166"/>
        <v>0</v>
      </c>
      <c r="L858" s="31"/>
      <c r="M858" s="31"/>
      <c r="N858" s="410"/>
      <c r="O858" s="196"/>
    </row>
    <row r="859" spans="1:20" ht="30" hidden="1" customHeight="1" x14ac:dyDescent="0.25">
      <c r="A859" s="174"/>
      <c r="B859" s="174"/>
      <c r="C859" s="174"/>
      <c r="D859" s="174"/>
      <c r="E859" s="171"/>
      <c r="F859" s="38" t="s">
        <v>292</v>
      </c>
      <c r="G859" s="181" t="s">
        <v>445</v>
      </c>
      <c r="H859" s="38" t="s">
        <v>291</v>
      </c>
      <c r="I859" s="282">
        <v>0</v>
      </c>
      <c r="J859" s="282">
        <f>K859-I859</f>
        <v>0</v>
      </c>
      <c r="K859" s="282">
        <v>0</v>
      </c>
      <c r="L859" s="31"/>
      <c r="M859" s="31"/>
      <c r="N859" s="410"/>
      <c r="O859" s="196"/>
      <c r="P859" s="68"/>
      <c r="Q859" s="35"/>
    </row>
    <row r="860" spans="1:20" s="411" customFormat="1" ht="30" hidden="1" customHeight="1" x14ac:dyDescent="0.25">
      <c r="A860" s="174"/>
      <c r="B860" s="174"/>
      <c r="C860" s="174"/>
      <c r="D860" s="174">
        <v>3113</v>
      </c>
      <c r="E860" s="174"/>
      <c r="F860" s="44"/>
      <c r="G860" s="181" t="s">
        <v>445</v>
      </c>
      <c r="H860" s="38" t="s">
        <v>16</v>
      </c>
      <c r="I860" s="282"/>
      <c r="J860" s="282"/>
      <c r="K860" s="282"/>
      <c r="L860" s="31"/>
      <c r="M860" s="31"/>
      <c r="N860" s="410"/>
      <c r="O860" s="196"/>
      <c r="Q860" s="268"/>
      <c r="R860" s="268"/>
      <c r="S860" s="194"/>
      <c r="T860" s="194"/>
    </row>
    <row r="861" spans="1:20" s="411" customFormat="1" ht="30" hidden="1" customHeight="1" x14ac:dyDescent="0.25">
      <c r="A861" s="174"/>
      <c r="B861" s="174"/>
      <c r="C861" s="174"/>
      <c r="D861" s="174"/>
      <c r="E861" s="171" t="s">
        <v>293</v>
      </c>
      <c r="F861" s="38"/>
      <c r="G861" s="181" t="s">
        <v>445</v>
      </c>
      <c r="H861" s="38" t="s">
        <v>16</v>
      </c>
      <c r="I861" s="282"/>
      <c r="J861" s="282"/>
      <c r="K861" s="282"/>
      <c r="L861" s="31"/>
      <c r="M861" s="31"/>
      <c r="N861" s="410"/>
      <c r="O861" s="196"/>
      <c r="Q861" s="268"/>
      <c r="R861" s="268"/>
      <c r="S861" s="194"/>
      <c r="T861" s="194"/>
    </row>
    <row r="862" spans="1:20" s="411" customFormat="1" ht="30" hidden="1" customHeight="1" x14ac:dyDescent="0.25">
      <c r="A862" s="174"/>
      <c r="B862" s="174"/>
      <c r="C862" s="174"/>
      <c r="D862" s="174"/>
      <c r="E862" s="171"/>
      <c r="F862" s="38" t="s">
        <v>294</v>
      </c>
      <c r="G862" s="181" t="s">
        <v>445</v>
      </c>
      <c r="H862" s="38" t="s">
        <v>16</v>
      </c>
      <c r="I862" s="282"/>
      <c r="J862" s="282"/>
      <c r="K862" s="282"/>
      <c r="L862" s="31"/>
      <c r="M862" s="31"/>
      <c r="N862" s="410"/>
      <c r="O862" s="196"/>
      <c r="Q862" s="268"/>
      <c r="R862" s="268"/>
      <c r="S862" s="194"/>
      <c r="T862" s="194"/>
    </row>
    <row r="863" spans="1:20" s="411" customFormat="1" ht="30" hidden="1" customHeight="1" x14ac:dyDescent="0.25">
      <c r="A863" s="174"/>
      <c r="B863" s="174"/>
      <c r="C863" s="174"/>
      <c r="D863" s="174">
        <v>3114</v>
      </c>
      <c r="E863" s="174"/>
      <c r="F863" s="44"/>
      <c r="G863" s="181" t="s">
        <v>445</v>
      </c>
      <c r="H863" s="38" t="s">
        <v>17</v>
      </c>
      <c r="I863" s="282">
        <f t="shared" ref="I863:K864" si="167">I864</f>
        <v>0</v>
      </c>
      <c r="J863" s="282">
        <f t="shared" si="167"/>
        <v>0</v>
      </c>
      <c r="K863" s="282">
        <f t="shared" si="167"/>
        <v>0</v>
      </c>
      <c r="L863" s="31"/>
      <c r="M863" s="31"/>
      <c r="N863" s="410"/>
      <c r="O863" s="196"/>
      <c r="Q863" s="268"/>
      <c r="R863" s="268"/>
      <c r="S863" s="194"/>
      <c r="T863" s="194"/>
    </row>
    <row r="864" spans="1:20" s="411" customFormat="1" ht="30" hidden="1" customHeight="1" x14ac:dyDescent="0.25">
      <c r="A864" s="174"/>
      <c r="B864" s="174"/>
      <c r="C864" s="174"/>
      <c r="D864" s="174"/>
      <c r="E864" s="171" t="s">
        <v>295</v>
      </c>
      <c r="F864" s="38"/>
      <c r="G864" s="181" t="s">
        <v>445</v>
      </c>
      <c r="H864" s="38" t="s">
        <v>17</v>
      </c>
      <c r="I864" s="282">
        <f t="shared" si="167"/>
        <v>0</v>
      </c>
      <c r="J864" s="282">
        <f t="shared" si="167"/>
        <v>0</v>
      </c>
      <c r="K864" s="282">
        <f t="shared" si="167"/>
        <v>0</v>
      </c>
      <c r="L864" s="31"/>
      <c r="M864" s="31"/>
      <c r="N864" s="410"/>
      <c r="O864" s="196"/>
      <c r="Q864" s="268"/>
      <c r="R864" s="268"/>
      <c r="S864" s="194"/>
      <c r="T864" s="194"/>
    </row>
    <row r="865" spans="1:20" s="411" customFormat="1" ht="30" hidden="1" customHeight="1" x14ac:dyDescent="0.25">
      <c r="A865" s="174"/>
      <c r="B865" s="174"/>
      <c r="C865" s="174"/>
      <c r="D865" s="174"/>
      <c r="E865" s="171"/>
      <c r="F865" s="38" t="s">
        <v>296</v>
      </c>
      <c r="G865" s="181" t="s">
        <v>445</v>
      </c>
      <c r="H865" s="38" t="s">
        <v>17</v>
      </c>
      <c r="I865" s="282">
        <v>0</v>
      </c>
      <c r="J865" s="282">
        <f>K865-I865</f>
        <v>0</v>
      </c>
      <c r="K865" s="282">
        <v>0</v>
      </c>
      <c r="L865" s="31"/>
      <c r="M865" s="31"/>
      <c r="N865" s="410"/>
      <c r="O865" s="196"/>
      <c r="Q865" s="268"/>
      <c r="R865" s="268"/>
      <c r="S865" s="194"/>
      <c r="T865" s="194"/>
    </row>
    <row r="866" spans="1:20" s="411" customFormat="1" ht="30" hidden="1" customHeight="1" x14ac:dyDescent="0.25">
      <c r="A866" s="172"/>
      <c r="B866" s="172"/>
      <c r="C866" s="172">
        <v>312</v>
      </c>
      <c r="D866" s="172"/>
      <c r="E866" s="172"/>
      <c r="F866" s="42"/>
      <c r="G866" s="181">
        <v>55</v>
      </c>
      <c r="H866" s="43" t="s">
        <v>18</v>
      </c>
      <c r="I866" s="281"/>
      <c r="J866" s="281"/>
      <c r="K866" s="281"/>
      <c r="L866" s="31"/>
      <c r="M866" s="31"/>
      <c r="N866" s="410"/>
      <c r="O866" s="196"/>
      <c r="Q866" s="268"/>
      <c r="R866" s="268"/>
      <c r="S866" s="194"/>
      <c r="T866" s="194"/>
    </row>
    <row r="867" spans="1:20" s="411" customFormat="1" ht="30" hidden="1" customHeight="1" x14ac:dyDescent="0.25">
      <c r="A867" s="174"/>
      <c r="B867" s="174"/>
      <c r="C867" s="174"/>
      <c r="D867" s="174">
        <v>3121</v>
      </c>
      <c r="E867" s="174"/>
      <c r="F867" s="44"/>
      <c r="G867" s="181">
        <v>55</v>
      </c>
      <c r="H867" s="38" t="s">
        <v>18</v>
      </c>
      <c r="I867" s="282"/>
      <c r="J867" s="282"/>
      <c r="K867" s="282"/>
      <c r="L867" s="31"/>
      <c r="M867" s="31"/>
      <c r="N867" s="410"/>
      <c r="O867" s="196"/>
      <c r="Q867" s="268"/>
      <c r="R867" s="268"/>
      <c r="S867" s="194"/>
      <c r="T867" s="194"/>
    </row>
    <row r="868" spans="1:20" s="411" customFormat="1" ht="30" hidden="1" customHeight="1" x14ac:dyDescent="0.25">
      <c r="A868" s="174"/>
      <c r="B868" s="174"/>
      <c r="C868" s="174"/>
      <c r="D868" s="174"/>
      <c r="E868" s="171" t="s">
        <v>84</v>
      </c>
      <c r="F868" s="38"/>
      <c r="G868" s="181">
        <v>55</v>
      </c>
      <c r="H868" s="38" t="s">
        <v>85</v>
      </c>
      <c r="I868" s="282"/>
      <c r="J868" s="282"/>
      <c r="K868" s="282"/>
      <c r="L868" s="31"/>
      <c r="M868" s="31"/>
      <c r="N868" s="410"/>
      <c r="O868" s="196"/>
      <c r="Q868" s="268"/>
      <c r="R868" s="268"/>
      <c r="S868" s="194"/>
      <c r="T868" s="194"/>
    </row>
    <row r="869" spans="1:20" s="411" customFormat="1" ht="30" hidden="1" customHeight="1" x14ac:dyDescent="0.25">
      <c r="A869" s="174"/>
      <c r="B869" s="174"/>
      <c r="C869" s="174"/>
      <c r="D869" s="174"/>
      <c r="E869" s="171"/>
      <c r="F869" s="38" t="s">
        <v>86</v>
      </c>
      <c r="G869" s="181">
        <v>55</v>
      </c>
      <c r="H869" s="38" t="s">
        <v>85</v>
      </c>
      <c r="I869" s="282"/>
      <c r="J869" s="282"/>
      <c r="K869" s="282"/>
      <c r="L869" s="31"/>
      <c r="M869" s="31"/>
      <c r="N869" s="410"/>
      <c r="O869" s="196"/>
      <c r="Q869" s="268"/>
      <c r="R869" s="268"/>
      <c r="S869" s="194"/>
      <c r="T869" s="194"/>
    </row>
    <row r="870" spans="1:20" s="411" customFormat="1" ht="30" hidden="1" customHeight="1" x14ac:dyDescent="0.25">
      <c r="A870" s="174"/>
      <c r="B870" s="174"/>
      <c r="C870" s="174"/>
      <c r="D870" s="174"/>
      <c r="E870" s="171" t="s">
        <v>87</v>
      </c>
      <c r="F870" s="38"/>
      <c r="G870" s="181">
        <v>55</v>
      </c>
      <c r="H870" s="38" t="s">
        <v>88</v>
      </c>
      <c r="I870" s="282"/>
      <c r="J870" s="282"/>
      <c r="K870" s="282"/>
      <c r="L870" s="31"/>
      <c r="M870" s="31"/>
      <c r="N870" s="410"/>
      <c r="O870" s="196"/>
      <c r="Q870" s="268"/>
      <c r="R870" s="268"/>
      <c r="S870" s="194"/>
      <c r="T870" s="194"/>
    </row>
    <row r="871" spans="1:20" s="411" customFormat="1" ht="30" hidden="1" customHeight="1" x14ac:dyDescent="0.25">
      <c r="A871" s="174"/>
      <c r="B871" s="174"/>
      <c r="C871" s="174"/>
      <c r="D871" s="174"/>
      <c r="E871" s="171"/>
      <c r="F871" s="38" t="s">
        <v>89</v>
      </c>
      <c r="G871" s="181">
        <v>55</v>
      </c>
      <c r="H871" s="38" t="s">
        <v>88</v>
      </c>
      <c r="I871" s="282"/>
      <c r="J871" s="282"/>
      <c r="K871" s="282"/>
      <c r="L871" s="31"/>
      <c r="M871" s="31"/>
      <c r="N871" s="410"/>
      <c r="O871" s="196"/>
      <c r="Q871" s="268"/>
      <c r="R871" s="268"/>
      <c r="S871" s="194"/>
      <c r="T871" s="194"/>
    </row>
    <row r="872" spans="1:20" s="411" customFormat="1" ht="30" hidden="1" customHeight="1" x14ac:dyDescent="0.25">
      <c r="A872" s="174"/>
      <c r="B872" s="174"/>
      <c r="C872" s="174"/>
      <c r="D872" s="174"/>
      <c r="E872" s="171" t="s">
        <v>90</v>
      </c>
      <c r="F872" s="38"/>
      <c r="G872" s="181">
        <v>55</v>
      </c>
      <c r="H872" s="38" t="s">
        <v>91</v>
      </c>
      <c r="I872" s="282"/>
      <c r="J872" s="282"/>
      <c r="K872" s="282"/>
      <c r="L872" s="31"/>
      <c r="M872" s="31"/>
      <c r="N872" s="410"/>
      <c r="O872" s="196"/>
      <c r="Q872" s="268"/>
      <c r="R872" s="268"/>
      <c r="S872" s="194"/>
      <c r="T872" s="194"/>
    </row>
    <row r="873" spans="1:20" s="411" customFormat="1" ht="30" hidden="1" customHeight="1" x14ac:dyDescent="0.25">
      <c r="A873" s="174"/>
      <c r="B873" s="174"/>
      <c r="C873" s="174"/>
      <c r="D873" s="174"/>
      <c r="E873" s="171"/>
      <c r="F873" s="38" t="s">
        <v>92</v>
      </c>
      <c r="G873" s="181">
        <v>55</v>
      </c>
      <c r="H873" s="38" t="s">
        <v>91</v>
      </c>
      <c r="I873" s="282"/>
      <c r="J873" s="282"/>
      <c r="K873" s="282"/>
      <c r="L873" s="31"/>
      <c r="M873" s="31"/>
      <c r="N873" s="410"/>
      <c r="O873" s="196"/>
      <c r="Q873" s="268"/>
      <c r="R873" s="268"/>
      <c r="S873" s="194"/>
      <c r="T873" s="194"/>
    </row>
    <row r="874" spans="1:20" s="411" customFormat="1" ht="30" hidden="1" customHeight="1" x14ac:dyDescent="0.25">
      <c r="A874" s="174"/>
      <c r="B874" s="174"/>
      <c r="C874" s="174"/>
      <c r="D874" s="174"/>
      <c r="E874" s="171" t="s">
        <v>93</v>
      </c>
      <c r="F874" s="38"/>
      <c r="G874" s="181">
        <v>55</v>
      </c>
      <c r="H874" s="38" t="s">
        <v>94</v>
      </c>
      <c r="I874" s="282"/>
      <c r="J874" s="282"/>
      <c r="K874" s="282"/>
      <c r="L874" s="31"/>
      <c r="M874" s="31"/>
      <c r="N874" s="410"/>
      <c r="O874" s="196"/>
      <c r="Q874" s="268"/>
      <c r="R874" s="268"/>
      <c r="S874" s="194"/>
      <c r="T874" s="194"/>
    </row>
    <row r="875" spans="1:20" s="411" customFormat="1" ht="30" hidden="1" customHeight="1" x14ac:dyDescent="0.25">
      <c r="A875" s="174"/>
      <c r="B875" s="174"/>
      <c r="C875" s="174"/>
      <c r="D875" s="174"/>
      <c r="E875" s="171"/>
      <c r="F875" s="38" t="s">
        <v>95</v>
      </c>
      <c r="G875" s="181">
        <v>55</v>
      </c>
      <c r="H875" s="38" t="s">
        <v>94</v>
      </c>
      <c r="I875" s="282"/>
      <c r="J875" s="282"/>
      <c r="K875" s="282"/>
      <c r="L875" s="31"/>
      <c r="M875" s="31"/>
      <c r="N875" s="410"/>
      <c r="O875" s="196"/>
      <c r="Q875" s="268"/>
      <c r="R875" s="268"/>
      <c r="S875" s="194"/>
      <c r="T875" s="194"/>
    </row>
    <row r="876" spans="1:20" ht="30" hidden="1" customHeight="1" x14ac:dyDescent="0.25">
      <c r="A876" s="174"/>
      <c r="B876" s="174"/>
      <c r="C876" s="174"/>
      <c r="D876" s="174"/>
      <c r="E876" s="171" t="s">
        <v>96</v>
      </c>
      <c r="F876" s="38"/>
      <c r="G876" s="181">
        <v>55</v>
      </c>
      <c r="H876" s="38" t="s">
        <v>97</v>
      </c>
      <c r="I876" s="282"/>
      <c r="J876" s="282"/>
      <c r="K876" s="282"/>
      <c r="L876" s="31"/>
      <c r="M876" s="31"/>
      <c r="N876" s="410"/>
      <c r="O876" s="196"/>
    </row>
    <row r="877" spans="1:20" ht="30" hidden="1" customHeight="1" x14ac:dyDescent="0.25">
      <c r="A877" s="174"/>
      <c r="B877" s="174"/>
      <c r="C877" s="174"/>
      <c r="D877" s="174"/>
      <c r="E877" s="171"/>
      <c r="F877" s="38" t="s">
        <v>98</v>
      </c>
      <c r="G877" s="181">
        <v>55</v>
      </c>
      <c r="H877" s="38" t="s">
        <v>97</v>
      </c>
      <c r="I877" s="282"/>
      <c r="J877" s="282"/>
      <c r="K877" s="282"/>
      <c r="L877" s="31"/>
      <c r="M877" s="31"/>
      <c r="N877" s="410"/>
      <c r="O877" s="196"/>
    </row>
    <row r="878" spans="1:20" s="154" customFormat="1" ht="30" hidden="1" customHeight="1" x14ac:dyDescent="0.25">
      <c r="A878" s="176"/>
      <c r="B878" s="176"/>
      <c r="C878" s="172">
        <v>313</v>
      </c>
      <c r="D878" s="172"/>
      <c r="E878" s="172"/>
      <c r="F878" s="42"/>
      <c r="G878" s="181"/>
      <c r="H878" s="43" t="s">
        <v>100</v>
      </c>
      <c r="I878" s="281">
        <f>I879+I884</f>
        <v>0</v>
      </c>
      <c r="J878" s="281">
        <f>J879+J884</f>
        <v>0</v>
      </c>
      <c r="K878" s="281">
        <f>K879+K884</f>
        <v>0</v>
      </c>
      <c r="L878" s="148"/>
      <c r="M878" s="148"/>
      <c r="N878" s="410"/>
      <c r="O878" s="196"/>
      <c r="P878" s="411"/>
      <c r="Q878" s="153"/>
      <c r="R878" s="153"/>
    </row>
    <row r="879" spans="1:20" ht="30" hidden="1" customHeight="1" x14ac:dyDescent="0.25">
      <c r="A879" s="174"/>
      <c r="B879" s="174"/>
      <c r="C879" s="174"/>
      <c r="D879" s="174">
        <v>3132</v>
      </c>
      <c r="E879" s="174"/>
      <c r="F879" s="44"/>
      <c r="G879" s="181" t="s">
        <v>445</v>
      </c>
      <c r="H879" s="38" t="s">
        <v>20</v>
      </c>
      <c r="I879" s="282">
        <f>I880+I882</f>
        <v>0</v>
      </c>
      <c r="J879" s="282">
        <f>J880+J882</f>
        <v>0</v>
      </c>
      <c r="K879" s="282">
        <f>K880+K882</f>
        <v>0</v>
      </c>
      <c r="L879" s="31"/>
      <c r="M879" s="31"/>
      <c r="N879" s="410"/>
      <c r="O879" s="196"/>
    </row>
    <row r="880" spans="1:20" ht="30" hidden="1" customHeight="1" x14ac:dyDescent="0.25">
      <c r="A880" s="174"/>
      <c r="B880" s="174"/>
      <c r="C880" s="174"/>
      <c r="D880" s="174"/>
      <c r="E880" s="171" t="s">
        <v>300</v>
      </c>
      <c r="F880" s="38"/>
      <c r="G880" s="181" t="s">
        <v>445</v>
      </c>
      <c r="H880" s="38" t="s">
        <v>20</v>
      </c>
      <c r="I880" s="282">
        <f>I881</f>
        <v>0</v>
      </c>
      <c r="J880" s="282">
        <f>J881</f>
        <v>0</v>
      </c>
      <c r="K880" s="282">
        <f>K881</f>
        <v>0</v>
      </c>
      <c r="L880" s="31"/>
      <c r="M880" s="31"/>
      <c r="N880" s="410"/>
      <c r="O880" s="196"/>
    </row>
    <row r="881" spans="1:20" ht="30" hidden="1" customHeight="1" x14ac:dyDescent="0.25">
      <c r="A881" s="174"/>
      <c r="B881" s="174"/>
      <c r="C881" s="174"/>
      <c r="D881" s="174"/>
      <c r="E881" s="171"/>
      <c r="F881" s="38" t="s">
        <v>301</v>
      </c>
      <c r="G881" s="181" t="s">
        <v>445</v>
      </c>
      <c r="H881" s="38" t="s">
        <v>20</v>
      </c>
      <c r="I881" s="282">
        <v>0</v>
      </c>
      <c r="J881" s="282">
        <f>K881-I881</f>
        <v>0</v>
      </c>
      <c r="K881" s="282">
        <v>0</v>
      </c>
      <c r="L881" s="31"/>
      <c r="M881" s="31"/>
      <c r="N881" s="410"/>
      <c r="O881" s="196"/>
    </row>
    <row r="882" spans="1:20" ht="30" hidden="1" customHeight="1" x14ac:dyDescent="0.25">
      <c r="A882" s="174"/>
      <c r="B882" s="174"/>
      <c r="C882" s="174"/>
      <c r="D882" s="174"/>
      <c r="E882" s="171" t="s">
        <v>302</v>
      </c>
      <c r="F882" s="38"/>
      <c r="G882" s="181" t="s">
        <v>445</v>
      </c>
      <c r="H882" s="38" t="s">
        <v>101</v>
      </c>
      <c r="I882" s="282">
        <f>I883</f>
        <v>0</v>
      </c>
      <c r="J882" s="282">
        <f>J883</f>
        <v>0</v>
      </c>
      <c r="K882" s="282">
        <f>K883</f>
        <v>0</v>
      </c>
      <c r="L882" s="31"/>
      <c r="M882" s="31"/>
      <c r="N882" s="410"/>
      <c r="O882" s="196"/>
    </row>
    <row r="883" spans="1:20" ht="30" hidden="1" customHeight="1" x14ac:dyDescent="0.25">
      <c r="A883" s="174"/>
      <c r="B883" s="174"/>
      <c r="C883" s="174"/>
      <c r="D883" s="174"/>
      <c r="E883" s="171"/>
      <c r="F883" s="38" t="s">
        <v>303</v>
      </c>
      <c r="G883" s="181" t="s">
        <v>445</v>
      </c>
      <c r="H883" s="38" t="s">
        <v>101</v>
      </c>
      <c r="I883" s="282">
        <v>0</v>
      </c>
      <c r="J883" s="282">
        <f>K883-I883</f>
        <v>0</v>
      </c>
      <c r="K883" s="282">
        <v>0</v>
      </c>
      <c r="L883" s="31"/>
      <c r="M883" s="31"/>
      <c r="N883" s="410"/>
      <c r="O883" s="196"/>
    </row>
    <row r="884" spans="1:20" ht="30" hidden="1" customHeight="1" x14ac:dyDescent="0.25">
      <c r="A884" s="174"/>
      <c r="B884" s="174"/>
      <c r="C884" s="174"/>
      <c r="D884" s="174">
        <v>3133</v>
      </c>
      <c r="E884" s="174"/>
      <c r="F884" s="44"/>
      <c r="G884" s="181" t="s">
        <v>445</v>
      </c>
      <c r="H884" s="38" t="s">
        <v>21</v>
      </c>
      <c r="I884" s="282">
        <f t="shared" ref="I884:K885" si="168">I885</f>
        <v>0</v>
      </c>
      <c r="J884" s="282">
        <f t="shared" si="168"/>
        <v>0</v>
      </c>
      <c r="K884" s="282">
        <f t="shared" si="168"/>
        <v>0</v>
      </c>
      <c r="L884" s="31"/>
      <c r="M884" s="31"/>
      <c r="N884" s="410"/>
      <c r="O884" s="196"/>
    </row>
    <row r="885" spans="1:20" ht="30" hidden="1" customHeight="1" x14ac:dyDescent="0.25">
      <c r="A885" s="174"/>
      <c r="B885" s="174"/>
      <c r="C885" s="174"/>
      <c r="D885" s="174"/>
      <c r="E885" s="171" t="s">
        <v>304</v>
      </c>
      <c r="F885" s="38"/>
      <c r="G885" s="181" t="s">
        <v>445</v>
      </c>
      <c r="H885" s="38" t="s">
        <v>21</v>
      </c>
      <c r="I885" s="282">
        <f t="shared" si="168"/>
        <v>0</v>
      </c>
      <c r="J885" s="282">
        <f t="shared" si="168"/>
        <v>0</v>
      </c>
      <c r="K885" s="282">
        <f t="shared" si="168"/>
        <v>0</v>
      </c>
      <c r="L885" s="31"/>
      <c r="M885" s="31"/>
      <c r="N885" s="410"/>
      <c r="O885" s="196"/>
    </row>
    <row r="886" spans="1:20" ht="30" hidden="1" customHeight="1" x14ac:dyDescent="0.25">
      <c r="A886" s="174"/>
      <c r="B886" s="174"/>
      <c r="C886" s="174"/>
      <c r="D886" s="174"/>
      <c r="E886" s="171"/>
      <c r="F886" s="38" t="s">
        <v>305</v>
      </c>
      <c r="G886" s="181" t="s">
        <v>445</v>
      </c>
      <c r="H886" s="38" t="s">
        <v>21</v>
      </c>
      <c r="I886" s="282">
        <v>0</v>
      </c>
      <c r="J886" s="282">
        <f>K886-I886</f>
        <v>0</v>
      </c>
      <c r="K886" s="282">
        <v>0</v>
      </c>
      <c r="L886" s="31"/>
      <c r="M886" s="31"/>
      <c r="N886" s="410"/>
      <c r="O886" s="196"/>
    </row>
    <row r="887" spans="1:20" ht="30" hidden="1" customHeight="1" x14ac:dyDescent="0.25">
      <c r="A887" s="172"/>
      <c r="B887" s="172">
        <v>32</v>
      </c>
      <c r="C887" s="172"/>
      <c r="D887" s="172"/>
      <c r="E887" s="172"/>
      <c r="F887" s="42"/>
      <c r="G887" s="181"/>
      <c r="H887" s="43" t="s">
        <v>22</v>
      </c>
      <c r="I887" s="281">
        <f>I888+I909+I933</f>
        <v>0</v>
      </c>
      <c r="J887" s="281">
        <f>J888+J909+J933</f>
        <v>0</v>
      </c>
      <c r="K887" s="281">
        <f>K888+K909+K933</f>
        <v>0</v>
      </c>
      <c r="L887" s="31"/>
      <c r="M887" s="31"/>
      <c r="N887" s="410"/>
      <c r="O887" s="196"/>
    </row>
    <row r="888" spans="1:20" s="154" customFormat="1" ht="30" hidden="1" customHeight="1" x14ac:dyDescent="0.25">
      <c r="A888" s="176"/>
      <c r="B888" s="176"/>
      <c r="C888" s="172">
        <v>321</v>
      </c>
      <c r="D888" s="172"/>
      <c r="E888" s="172"/>
      <c r="F888" s="42"/>
      <c r="G888" s="181"/>
      <c r="H888" s="43" t="s">
        <v>23</v>
      </c>
      <c r="I888" s="372">
        <f>I889+I898+I903</f>
        <v>0</v>
      </c>
      <c r="J888" s="372">
        <f>J889+J898+J903</f>
        <v>0</v>
      </c>
      <c r="K888" s="372">
        <f>K889+K898+K903</f>
        <v>0</v>
      </c>
      <c r="L888" s="148"/>
      <c r="M888" s="148"/>
      <c r="N888" s="410"/>
      <c r="O888" s="196"/>
      <c r="P888" s="411"/>
      <c r="Q888" s="153"/>
      <c r="R888" s="153"/>
    </row>
    <row r="889" spans="1:20" ht="30" hidden="1" customHeight="1" x14ac:dyDescent="0.25">
      <c r="A889" s="174"/>
      <c r="B889" s="174"/>
      <c r="C889" s="174"/>
      <c r="D889" s="174">
        <v>3211</v>
      </c>
      <c r="E889" s="174"/>
      <c r="F889" s="44"/>
      <c r="G889" s="181" t="s">
        <v>445</v>
      </c>
      <c r="H889" s="38" t="s">
        <v>24</v>
      </c>
      <c r="I889" s="282">
        <f t="shared" ref="I889:K889" si="169">I890+I892+I894+I896</f>
        <v>0</v>
      </c>
      <c r="J889" s="282">
        <f>J890+J892+J894+J896</f>
        <v>0</v>
      </c>
      <c r="K889" s="282">
        <f t="shared" si="169"/>
        <v>0</v>
      </c>
      <c r="L889" s="31"/>
      <c r="M889" s="31"/>
      <c r="N889" s="410"/>
      <c r="O889" s="196"/>
    </row>
    <row r="890" spans="1:20" ht="30" hidden="1" customHeight="1" x14ac:dyDescent="0.25">
      <c r="A890" s="174"/>
      <c r="B890" s="174"/>
      <c r="C890" s="174"/>
      <c r="D890" s="174"/>
      <c r="E890" s="171" t="s">
        <v>306</v>
      </c>
      <c r="F890" s="38"/>
      <c r="G890" s="181" t="s">
        <v>445</v>
      </c>
      <c r="H890" s="38" t="s">
        <v>102</v>
      </c>
      <c r="I890" s="282">
        <f>I891</f>
        <v>0</v>
      </c>
      <c r="J890" s="282">
        <f>J891</f>
        <v>0</v>
      </c>
      <c r="K890" s="282">
        <f>K891</f>
        <v>0</v>
      </c>
      <c r="L890" s="31"/>
      <c r="M890" s="31"/>
      <c r="N890" s="410"/>
      <c r="O890" s="196"/>
    </row>
    <row r="891" spans="1:20" ht="30" hidden="1" customHeight="1" x14ac:dyDescent="0.25">
      <c r="A891" s="174"/>
      <c r="B891" s="174"/>
      <c r="C891" s="174"/>
      <c r="D891" s="174"/>
      <c r="E891" s="171"/>
      <c r="F891" s="38" t="s">
        <v>307</v>
      </c>
      <c r="G891" s="181" t="s">
        <v>445</v>
      </c>
      <c r="H891" s="38" t="s">
        <v>102</v>
      </c>
      <c r="I891" s="282">
        <v>0</v>
      </c>
      <c r="J891" s="282">
        <f>K891-I891</f>
        <v>0</v>
      </c>
      <c r="K891" s="282">
        <v>0</v>
      </c>
      <c r="L891" s="31"/>
      <c r="M891" s="31"/>
      <c r="N891" s="410"/>
      <c r="O891" s="196"/>
    </row>
    <row r="892" spans="1:20" s="411" customFormat="1" ht="30" hidden="1" customHeight="1" x14ac:dyDescent="0.25">
      <c r="A892" s="174"/>
      <c r="B892" s="174"/>
      <c r="C892" s="174"/>
      <c r="D892" s="174"/>
      <c r="E892" s="171" t="s">
        <v>308</v>
      </c>
      <c r="F892" s="38"/>
      <c r="G892" s="181" t="s">
        <v>445</v>
      </c>
      <c r="H892" s="38" t="s">
        <v>103</v>
      </c>
      <c r="I892" s="282">
        <f>I893</f>
        <v>0</v>
      </c>
      <c r="J892" s="282">
        <f>J893</f>
        <v>0</v>
      </c>
      <c r="K892" s="282">
        <f>K893</f>
        <v>0</v>
      </c>
      <c r="L892" s="31"/>
      <c r="M892" s="31"/>
      <c r="N892" s="410"/>
      <c r="O892" s="196"/>
      <c r="Q892" s="268"/>
      <c r="R892" s="268"/>
      <c r="S892" s="194"/>
      <c r="T892" s="194"/>
    </row>
    <row r="893" spans="1:20" s="411" customFormat="1" ht="30" hidden="1" customHeight="1" x14ac:dyDescent="0.25">
      <c r="A893" s="174"/>
      <c r="B893" s="174"/>
      <c r="C893" s="174"/>
      <c r="D893" s="174"/>
      <c r="E893" s="171"/>
      <c r="F893" s="38" t="s">
        <v>309</v>
      </c>
      <c r="G893" s="181" t="s">
        <v>445</v>
      </c>
      <c r="H893" s="38" t="s">
        <v>103</v>
      </c>
      <c r="I893" s="282">
        <v>0</v>
      </c>
      <c r="J893" s="282">
        <f>K893-I893</f>
        <v>0</v>
      </c>
      <c r="K893" s="282">
        <v>0</v>
      </c>
      <c r="L893" s="31"/>
      <c r="M893" s="31"/>
      <c r="N893" s="410"/>
      <c r="O893" s="196"/>
      <c r="Q893" s="268"/>
      <c r="R893" s="268"/>
      <c r="S893" s="194"/>
      <c r="T893" s="194"/>
    </row>
    <row r="894" spans="1:20" s="411" customFormat="1" ht="30" hidden="1" customHeight="1" x14ac:dyDescent="0.25">
      <c r="A894" s="174"/>
      <c r="B894" s="174"/>
      <c r="C894" s="174"/>
      <c r="D894" s="174"/>
      <c r="E894" s="171" t="s">
        <v>310</v>
      </c>
      <c r="F894" s="38"/>
      <c r="G894" s="181" t="s">
        <v>445</v>
      </c>
      <c r="H894" s="38" t="s">
        <v>104</v>
      </c>
      <c r="I894" s="282">
        <f>I895</f>
        <v>0</v>
      </c>
      <c r="J894" s="282">
        <f>J895</f>
        <v>0</v>
      </c>
      <c r="K894" s="282">
        <f>K895</f>
        <v>0</v>
      </c>
      <c r="L894" s="31"/>
      <c r="M894" s="31"/>
      <c r="N894" s="410"/>
      <c r="O894" s="196"/>
      <c r="Q894" s="268"/>
      <c r="R894" s="268"/>
      <c r="S894" s="194"/>
      <c r="T894" s="194"/>
    </row>
    <row r="895" spans="1:20" s="411" customFormat="1" ht="30" hidden="1" customHeight="1" x14ac:dyDescent="0.25">
      <c r="A895" s="174"/>
      <c r="B895" s="174"/>
      <c r="C895" s="174"/>
      <c r="D895" s="174"/>
      <c r="E895" s="171"/>
      <c r="F895" s="38" t="s">
        <v>311</v>
      </c>
      <c r="G895" s="181" t="s">
        <v>445</v>
      </c>
      <c r="H895" s="38" t="s">
        <v>104</v>
      </c>
      <c r="I895" s="282">
        <f>400-400</f>
        <v>0</v>
      </c>
      <c r="J895" s="282">
        <f>K895-I895</f>
        <v>0</v>
      </c>
      <c r="K895" s="282">
        <f>400-400</f>
        <v>0</v>
      </c>
      <c r="L895" s="31"/>
      <c r="M895" s="31"/>
      <c r="N895" s="410"/>
      <c r="O895" s="196"/>
      <c r="Q895" s="268"/>
      <c r="R895" s="268"/>
      <c r="S895" s="194"/>
      <c r="T895" s="194"/>
    </row>
    <row r="896" spans="1:20" s="411" customFormat="1" ht="30" hidden="1" customHeight="1" x14ac:dyDescent="0.25">
      <c r="A896" s="174"/>
      <c r="B896" s="174"/>
      <c r="C896" s="174"/>
      <c r="D896" s="174"/>
      <c r="E896" s="171" t="s">
        <v>312</v>
      </c>
      <c r="F896" s="38"/>
      <c r="G896" s="181" t="s">
        <v>445</v>
      </c>
      <c r="H896" s="38" t="s">
        <v>105</v>
      </c>
      <c r="I896" s="282">
        <f>I897</f>
        <v>0</v>
      </c>
      <c r="J896" s="282">
        <f>J897</f>
        <v>0</v>
      </c>
      <c r="K896" s="282">
        <f>K897</f>
        <v>0</v>
      </c>
      <c r="L896" s="31"/>
      <c r="M896" s="31"/>
      <c r="N896" s="410"/>
      <c r="O896" s="196"/>
      <c r="Q896" s="268"/>
      <c r="R896" s="268"/>
      <c r="S896" s="194"/>
      <c r="T896" s="194"/>
    </row>
    <row r="897" spans="1:20" s="411" customFormat="1" ht="30" hidden="1" customHeight="1" x14ac:dyDescent="0.25">
      <c r="A897" s="174"/>
      <c r="B897" s="174"/>
      <c r="C897" s="174"/>
      <c r="D897" s="174"/>
      <c r="E897" s="171"/>
      <c r="F897" s="38" t="s">
        <v>313</v>
      </c>
      <c r="G897" s="181" t="s">
        <v>445</v>
      </c>
      <c r="H897" s="38" t="s">
        <v>105</v>
      </c>
      <c r="I897" s="282">
        <v>0</v>
      </c>
      <c r="J897" s="282">
        <f>K897-I897</f>
        <v>0</v>
      </c>
      <c r="K897" s="282">
        <v>0</v>
      </c>
      <c r="L897" s="31"/>
      <c r="M897" s="31"/>
      <c r="N897" s="410"/>
      <c r="O897" s="196"/>
      <c r="Q897" s="268"/>
      <c r="R897" s="268"/>
      <c r="S897" s="194"/>
      <c r="T897" s="194"/>
    </row>
    <row r="898" spans="1:20" s="411" customFormat="1" ht="30" hidden="1" customHeight="1" x14ac:dyDescent="0.25">
      <c r="A898" s="174"/>
      <c r="B898" s="174"/>
      <c r="C898" s="174"/>
      <c r="D898" s="174">
        <v>3212</v>
      </c>
      <c r="E898" s="174"/>
      <c r="F898" s="44"/>
      <c r="G898" s="181" t="s">
        <v>445</v>
      </c>
      <c r="H898" s="38" t="s">
        <v>25</v>
      </c>
      <c r="I898" s="282">
        <f>I899</f>
        <v>0</v>
      </c>
      <c r="J898" s="282">
        <f>J899</f>
        <v>0</v>
      </c>
      <c r="K898" s="282">
        <f>K899</f>
        <v>0</v>
      </c>
      <c r="L898" s="31"/>
      <c r="M898" s="31"/>
      <c r="N898" s="410"/>
      <c r="O898" s="196"/>
      <c r="Q898" s="268"/>
      <c r="R898" s="268"/>
      <c r="S898" s="194"/>
      <c r="T898" s="194"/>
    </row>
    <row r="899" spans="1:20" s="411" customFormat="1" ht="30" hidden="1" customHeight="1" x14ac:dyDescent="0.25">
      <c r="A899" s="174"/>
      <c r="B899" s="174"/>
      <c r="C899" s="174"/>
      <c r="D899" s="174"/>
      <c r="E899" s="171" t="s">
        <v>314</v>
      </c>
      <c r="F899" s="38"/>
      <c r="G899" s="181" t="s">
        <v>445</v>
      </c>
      <c r="H899" s="38" t="s">
        <v>106</v>
      </c>
      <c r="I899" s="282">
        <f t="shared" ref="I899:K899" si="170">I900</f>
        <v>0</v>
      </c>
      <c r="J899" s="282">
        <f t="shared" si="170"/>
        <v>0</v>
      </c>
      <c r="K899" s="282">
        <f t="shared" si="170"/>
        <v>0</v>
      </c>
      <c r="L899" s="31"/>
      <c r="M899" s="31"/>
      <c r="N899" s="410"/>
      <c r="O899" s="196"/>
      <c r="Q899" s="268"/>
      <c r="R899" s="268"/>
      <c r="S899" s="194"/>
      <c r="T899" s="194"/>
    </row>
    <row r="900" spans="1:20" s="411" customFormat="1" ht="30" hidden="1" customHeight="1" x14ac:dyDescent="0.25">
      <c r="A900" s="174"/>
      <c r="B900" s="174"/>
      <c r="C900" s="174"/>
      <c r="D900" s="174"/>
      <c r="E900" s="171"/>
      <c r="F900" s="38" t="s">
        <v>315</v>
      </c>
      <c r="G900" s="181" t="s">
        <v>445</v>
      </c>
      <c r="H900" s="38" t="s">
        <v>106</v>
      </c>
      <c r="I900" s="282">
        <v>0</v>
      </c>
      <c r="J900" s="282">
        <f>K900-I900</f>
        <v>0</v>
      </c>
      <c r="K900" s="282">
        <v>0</v>
      </c>
      <c r="L900" s="31"/>
      <c r="M900" s="31"/>
      <c r="N900" s="410"/>
      <c r="O900" s="196"/>
      <c r="Q900" s="268"/>
      <c r="R900" s="268"/>
      <c r="S900" s="194"/>
      <c r="T900" s="194"/>
    </row>
    <row r="901" spans="1:20" s="411" customFormat="1" ht="30" hidden="1" customHeight="1" x14ac:dyDescent="0.25">
      <c r="A901" s="174"/>
      <c r="B901" s="174"/>
      <c r="C901" s="174"/>
      <c r="D901" s="174"/>
      <c r="E901" s="171" t="s">
        <v>316</v>
      </c>
      <c r="F901" s="38"/>
      <c r="G901" s="181" t="s">
        <v>445</v>
      </c>
      <c r="H901" s="38" t="s">
        <v>317</v>
      </c>
      <c r="I901" s="282"/>
      <c r="J901" s="282"/>
      <c r="K901" s="282"/>
      <c r="L901" s="31"/>
      <c r="M901" s="31"/>
      <c r="N901" s="410"/>
      <c r="O901" s="196"/>
      <c r="Q901" s="268"/>
      <c r="R901" s="268"/>
      <c r="S901" s="194"/>
      <c r="T901" s="194"/>
    </row>
    <row r="902" spans="1:20" s="411" customFormat="1" ht="30" hidden="1" customHeight="1" x14ac:dyDescent="0.25">
      <c r="A902" s="174"/>
      <c r="B902" s="174"/>
      <c r="C902" s="174"/>
      <c r="D902" s="174"/>
      <c r="E902" s="171"/>
      <c r="F902" s="38" t="s">
        <v>318</v>
      </c>
      <c r="G902" s="181" t="s">
        <v>445</v>
      </c>
      <c r="H902" s="38" t="s">
        <v>317</v>
      </c>
      <c r="I902" s="282"/>
      <c r="J902" s="282"/>
      <c r="K902" s="282"/>
      <c r="L902" s="31"/>
      <c r="M902" s="31"/>
      <c r="N902" s="410"/>
      <c r="O902" s="196"/>
      <c r="Q902" s="268"/>
      <c r="R902" s="268"/>
      <c r="S902" s="194"/>
      <c r="T902" s="194"/>
    </row>
    <row r="903" spans="1:20" s="411" customFormat="1" ht="30" hidden="1" customHeight="1" x14ac:dyDescent="0.25">
      <c r="A903" s="174"/>
      <c r="B903" s="174"/>
      <c r="C903" s="174"/>
      <c r="D903" s="174">
        <v>3213</v>
      </c>
      <c r="E903" s="174"/>
      <c r="F903" s="44"/>
      <c r="G903" s="181" t="s">
        <v>445</v>
      </c>
      <c r="H903" s="38" t="s">
        <v>26</v>
      </c>
      <c r="I903" s="282">
        <f t="shared" ref="I903:K904" si="171">I904</f>
        <v>0</v>
      </c>
      <c r="J903" s="282">
        <f t="shared" si="171"/>
        <v>0</v>
      </c>
      <c r="K903" s="282">
        <f t="shared" si="171"/>
        <v>0</v>
      </c>
      <c r="L903" s="31"/>
      <c r="M903" s="31"/>
      <c r="N903" s="410"/>
      <c r="O903" s="196"/>
      <c r="Q903" s="268"/>
      <c r="R903" s="268"/>
      <c r="S903" s="194"/>
      <c r="T903" s="194"/>
    </row>
    <row r="904" spans="1:20" s="411" customFormat="1" ht="30" hidden="1" customHeight="1" x14ac:dyDescent="0.25">
      <c r="A904" s="174"/>
      <c r="B904" s="174"/>
      <c r="C904" s="174"/>
      <c r="D904" s="174"/>
      <c r="E904" s="171" t="s">
        <v>108</v>
      </c>
      <c r="F904" s="38"/>
      <c r="G904" s="181" t="s">
        <v>445</v>
      </c>
      <c r="H904" s="38" t="s">
        <v>109</v>
      </c>
      <c r="I904" s="282">
        <f t="shared" si="171"/>
        <v>0</v>
      </c>
      <c r="J904" s="282">
        <f t="shared" si="171"/>
        <v>0</v>
      </c>
      <c r="K904" s="282">
        <f t="shared" si="171"/>
        <v>0</v>
      </c>
      <c r="L904" s="31"/>
      <c r="M904" s="31"/>
      <c r="N904" s="410"/>
      <c r="O904" s="196"/>
      <c r="Q904" s="268"/>
      <c r="R904" s="268"/>
      <c r="S904" s="194"/>
      <c r="T904" s="194"/>
    </row>
    <row r="905" spans="1:20" s="411" customFormat="1" ht="30" hidden="1" customHeight="1" x14ac:dyDescent="0.25">
      <c r="A905" s="174"/>
      <c r="B905" s="174"/>
      <c r="C905" s="174"/>
      <c r="D905" s="174"/>
      <c r="E905" s="171"/>
      <c r="F905" s="38" t="s">
        <v>110</v>
      </c>
      <c r="G905" s="181" t="s">
        <v>445</v>
      </c>
      <c r="H905" s="38" t="s">
        <v>319</v>
      </c>
      <c r="I905" s="282">
        <v>0</v>
      </c>
      <c r="J905" s="282">
        <f>K905-I905</f>
        <v>0</v>
      </c>
      <c r="K905" s="282">
        <v>0</v>
      </c>
      <c r="L905" s="31"/>
      <c r="M905" s="31"/>
      <c r="N905" s="410"/>
      <c r="O905" s="196"/>
      <c r="Q905" s="268"/>
      <c r="R905" s="268"/>
      <c r="S905" s="194"/>
      <c r="T905" s="194"/>
    </row>
    <row r="906" spans="1:20" s="411" customFormat="1" ht="30" hidden="1" customHeight="1" x14ac:dyDescent="0.25">
      <c r="A906" s="174"/>
      <c r="B906" s="174"/>
      <c r="C906" s="174"/>
      <c r="D906" s="174"/>
      <c r="E906" s="171"/>
      <c r="F906" s="38" t="s">
        <v>112</v>
      </c>
      <c r="G906" s="181">
        <v>63</v>
      </c>
      <c r="H906" s="38" t="s">
        <v>320</v>
      </c>
      <c r="I906" s="282"/>
      <c r="J906" s="282"/>
      <c r="K906" s="282"/>
      <c r="L906" s="31"/>
      <c r="M906" s="31"/>
      <c r="N906" s="410"/>
      <c r="O906" s="196"/>
      <c r="Q906" s="268"/>
      <c r="R906" s="268"/>
      <c r="S906" s="194"/>
      <c r="T906" s="194"/>
    </row>
    <row r="907" spans="1:20" s="411" customFormat="1" ht="30" hidden="1" customHeight="1" x14ac:dyDescent="0.25">
      <c r="A907" s="174"/>
      <c r="B907" s="174"/>
      <c r="C907" s="174"/>
      <c r="D907" s="174"/>
      <c r="E907" s="171" t="s">
        <v>114</v>
      </c>
      <c r="F907" s="38"/>
      <c r="G907" s="181">
        <v>63</v>
      </c>
      <c r="H907" s="38" t="s">
        <v>115</v>
      </c>
      <c r="I907" s="282"/>
      <c r="J907" s="282"/>
      <c r="K907" s="282"/>
      <c r="L907" s="31"/>
      <c r="M907" s="31"/>
      <c r="N907" s="410"/>
      <c r="O907" s="196"/>
      <c r="Q907" s="268"/>
      <c r="R907" s="268"/>
      <c r="S907" s="194"/>
      <c r="T907" s="194"/>
    </row>
    <row r="908" spans="1:20" ht="30" hidden="1" customHeight="1" x14ac:dyDescent="0.25">
      <c r="A908" s="174"/>
      <c r="B908" s="174"/>
      <c r="C908" s="174"/>
      <c r="D908" s="174"/>
      <c r="E908" s="171"/>
      <c r="F908" s="38" t="s">
        <v>116</v>
      </c>
      <c r="G908" s="181">
        <v>63</v>
      </c>
      <c r="H908" s="38" t="s">
        <v>115</v>
      </c>
      <c r="I908" s="282"/>
      <c r="J908" s="282"/>
      <c r="K908" s="282"/>
      <c r="L908" s="31"/>
      <c r="M908" s="31"/>
      <c r="N908" s="410"/>
      <c r="O908" s="196"/>
    </row>
    <row r="909" spans="1:20" s="154" customFormat="1" ht="30" hidden="1" customHeight="1" x14ac:dyDescent="0.25">
      <c r="A909" s="176"/>
      <c r="B909" s="176"/>
      <c r="C909" s="172">
        <v>322</v>
      </c>
      <c r="D909" s="172"/>
      <c r="E909" s="172"/>
      <c r="F909" s="42"/>
      <c r="G909" s="181"/>
      <c r="H909" s="43" t="s">
        <v>27</v>
      </c>
      <c r="I909" s="281">
        <f>I910+I920+I925</f>
        <v>0</v>
      </c>
      <c r="J909" s="281">
        <f>J910+J920+J925</f>
        <v>0</v>
      </c>
      <c r="K909" s="281">
        <f>K910+K920+K925</f>
        <v>0</v>
      </c>
      <c r="L909" s="148"/>
      <c r="M909" s="148"/>
      <c r="N909" s="410"/>
      <c r="O909" s="196"/>
      <c r="P909" s="411"/>
      <c r="Q909" s="153"/>
      <c r="R909" s="153"/>
    </row>
    <row r="910" spans="1:20" ht="30" hidden="1" customHeight="1" x14ac:dyDescent="0.25">
      <c r="A910" s="174"/>
      <c r="B910" s="174"/>
      <c r="C910" s="174"/>
      <c r="D910" s="174">
        <v>3221</v>
      </c>
      <c r="E910" s="174"/>
      <c r="F910" s="44"/>
      <c r="G910" s="181" t="s">
        <v>445</v>
      </c>
      <c r="H910" s="38" t="s">
        <v>117</v>
      </c>
      <c r="I910" s="282">
        <f>I911+I914+I916+I918</f>
        <v>0</v>
      </c>
      <c r="J910" s="282">
        <f>J911+J914+J916+J918</f>
        <v>0</v>
      </c>
      <c r="K910" s="282">
        <f>K911+K914+K916+K918</f>
        <v>0</v>
      </c>
      <c r="L910" s="31"/>
      <c r="M910" s="31"/>
      <c r="N910" s="410"/>
      <c r="O910" s="196"/>
    </row>
    <row r="911" spans="1:20" ht="30" hidden="1" customHeight="1" x14ac:dyDescent="0.25">
      <c r="A911" s="174"/>
      <c r="B911" s="174"/>
      <c r="C911" s="174"/>
      <c r="D911" s="174"/>
      <c r="E911" s="171" t="s">
        <v>118</v>
      </c>
      <c r="F911" s="38"/>
      <c r="G911" s="181" t="s">
        <v>445</v>
      </c>
      <c r="H911" s="38" t="s">
        <v>119</v>
      </c>
      <c r="I911" s="282">
        <f>I912+I913</f>
        <v>0</v>
      </c>
      <c r="J911" s="282">
        <f>J912+J913</f>
        <v>0</v>
      </c>
      <c r="K911" s="282">
        <f>K912+K913</f>
        <v>0</v>
      </c>
      <c r="L911" s="31"/>
      <c r="M911" s="31"/>
      <c r="N911" s="410"/>
      <c r="O911" s="196"/>
    </row>
    <row r="912" spans="1:20" ht="30" hidden="1" customHeight="1" x14ac:dyDescent="0.25">
      <c r="A912" s="174"/>
      <c r="B912" s="174"/>
      <c r="C912" s="174"/>
      <c r="D912" s="174"/>
      <c r="E912" s="171"/>
      <c r="F912" s="38" t="s">
        <v>120</v>
      </c>
      <c r="G912" s="181" t="s">
        <v>445</v>
      </c>
      <c r="H912" s="38" t="s">
        <v>119</v>
      </c>
      <c r="I912" s="282">
        <v>0</v>
      </c>
      <c r="J912" s="282">
        <f>K912-I912</f>
        <v>0</v>
      </c>
      <c r="K912" s="282">
        <v>0</v>
      </c>
      <c r="L912" s="31"/>
      <c r="M912" s="31"/>
      <c r="N912" s="410"/>
      <c r="O912" s="196"/>
    </row>
    <row r="913" spans="1:16" ht="30" hidden="1" customHeight="1" x14ac:dyDescent="0.25">
      <c r="A913" s="174"/>
      <c r="B913" s="174"/>
      <c r="C913" s="174"/>
      <c r="D913" s="174"/>
      <c r="E913" s="171"/>
      <c r="F913" s="38" t="s">
        <v>121</v>
      </c>
      <c r="G913" s="181" t="s">
        <v>445</v>
      </c>
      <c r="H913" s="38" t="s">
        <v>321</v>
      </c>
      <c r="I913" s="282">
        <v>0</v>
      </c>
      <c r="J913" s="282">
        <f>K913-I913</f>
        <v>0</v>
      </c>
      <c r="K913" s="282">
        <v>0</v>
      </c>
      <c r="L913" s="31"/>
      <c r="M913" s="31"/>
      <c r="N913" s="410"/>
      <c r="O913" s="196"/>
    </row>
    <row r="914" spans="1:16" ht="30" hidden="1" customHeight="1" x14ac:dyDescent="0.25">
      <c r="A914" s="174"/>
      <c r="B914" s="174"/>
      <c r="C914" s="174"/>
      <c r="D914" s="174"/>
      <c r="E914" s="171" t="s">
        <v>123</v>
      </c>
      <c r="F914" s="38"/>
      <c r="G914" s="181" t="s">
        <v>445</v>
      </c>
      <c r="H914" s="38" t="s">
        <v>124</v>
      </c>
      <c r="I914" s="282">
        <f>I915</f>
        <v>0</v>
      </c>
      <c r="J914" s="282">
        <f>J915</f>
        <v>0</v>
      </c>
      <c r="K914" s="282">
        <f>K915</f>
        <v>0</v>
      </c>
      <c r="L914" s="31"/>
      <c r="M914" s="31"/>
      <c r="N914" s="410"/>
      <c r="O914" s="196"/>
    </row>
    <row r="915" spans="1:16" ht="30" hidden="1" customHeight="1" x14ac:dyDescent="0.25">
      <c r="A915" s="174"/>
      <c r="B915" s="174"/>
      <c r="C915" s="174"/>
      <c r="D915" s="174"/>
      <c r="E915" s="171"/>
      <c r="F915" s="38" t="s">
        <v>125</v>
      </c>
      <c r="G915" s="181" t="s">
        <v>445</v>
      </c>
      <c r="H915" s="38" t="s">
        <v>124</v>
      </c>
      <c r="I915" s="282">
        <v>0</v>
      </c>
      <c r="J915" s="282">
        <f>K915-I915</f>
        <v>0</v>
      </c>
      <c r="K915" s="282">
        <v>0</v>
      </c>
      <c r="L915" s="31"/>
      <c r="M915" s="31"/>
      <c r="N915" s="410"/>
      <c r="O915" s="196"/>
    </row>
    <row r="916" spans="1:16" ht="30" hidden="1" customHeight="1" x14ac:dyDescent="0.25">
      <c r="A916" s="174"/>
      <c r="B916" s="174"/>
      <c r="C916" s="174"/>
      <c r="D916" s="174"/>
      <c r="E916" s="171" t="s">
        <v>126</v>
      </c>
      <c r="F916" s="38"/>
      <c r="G916" s="181" t="s">
        <v>445</v>
      </c>
      <c r="H916" s="38" t="s">
        <v>127</v>
      </c>
      <c r="I916" s="282">
        <f>I917</f>
        <v>0</v>
      </c>
      <c r="J916" s="282">
        <f>J917</f>
        <v>0</v>
      </c>
      <c r="K916" s="282">
        <f>K917</f>
        <v>0</v>
      </c>
      <c r="L916" s="31"/>
      <c r="M916" s="31"/>
      <c r="N916" s="410"/>
      <c r="O916" s="196"/>
    </row>
    <row r="917" spans="1:16" ht="30" hidden="1" customHeight="1" x14ac:dyDescent="0.25">
      <c r="A917" s="174"/>
      <c r="B917" s="174"/>
      <c r="C917" s="174"/>
      <c r="D917" s="174"/>
      <c r="E917" s="171"/>
      <c r="F917" s="38" t="s">
        <v>128</v>
      </c>
      <c r="G917" s="181" t="s">
        <v>445</v>
      </c>
      <c r="H917" s="38" t="s">
        <v>127</v>
      </c>
      <c r="I917" s="282">
        <v>0</v>
      </c>
      <c r="J917" s="282">
        <f>K917-I917</f>
        <v>0</v>
      </c>
      <c r="K917" s="282">
        <v>0</v>
      </c>
      <c r="L917" s="31"/>
      <c r="M917" s="31"/>
      <c r="N917" s="410"/>
      <c r="O917" s="196"/>
    </row>
    <row r="918" spans="1:16" ht="30" hidden="1" customHeight="1" x14ac:dyDescent="0.25">
      <c r="A918" s="174"/>
      <c r="B918" s="174"/>
      <c r="C918" s="174"/>
      <c r="D918" s="174"/>
      <c r="E918" s="171" t="s">
        <v>129</v>
      </c>
      <c r="F918" s="38"/>
      <c r="G918" s="181" t="s">
        <v>445</v>
      </c>
      <c r="H918" s="38" t="s">
        <v>130</v>
      </c>
      <c r="I918" s="282">
        <f>I919</f>
        <v>0</v>
      </c>
      <c r="J918" s="282">
        <f>J919</f>
        <v>0</v>
      </c>
      <c r="K918" s="282">
        <f>K919</f>
        <v>0</v>
      </c>
      <c r="L918" s="31"/>
      <c r="M918" s="31"/>
      <c r="N918" s="410"/>
      <c r="O918" s="196"/>
    </row>
    <row r="919" spans="1:16" ht="30" hidden="1" customHeight="1" x14ac:dyDescent="0.25">
      <c r="A919" s="174"/>
      <c r="B919" s="174"/>
      <c r="C919" s="174"/>
      <c r="D919" s="174"/>
      <c r="E919" s="171"/>
      <c r="F919" s="38" t="s">
        <v>131</v>
      </c>
      <c r="G919" s="181" t="s">
        <v>445</v>
      </c>
      <c r="H919" s="38" t="s">
        <v>130</v>
      </c>
      <c r="I919" s="282">
        <v>0</v>
      </c>
      <c r="J919" s="282">
        <f>K919-I919</f>
        <v>0</v>
      </c>
      <c r="K919" s="282">
        <v>0</v>
      </c>
      <c r="L919" s="31"/>
      <c r="M919" s="31"/>
      <c r="N919" s="410"/>
      <c r="O919" s="196"/>
    </row>
    <row r="920" spans="1:16" ht="30" hidden="1" customHeight="1" x14ac:dyDescent="0.25">
      <c r="A920" s="174"/>
      <c r="B920" s="174"/>
      <c r="C920" s="174"/>
      <c r="D920" s="174">
        <v>3222</v>
      </c>
      <c r="E920" s="174"/>
      <c r="F920" s="44"/>
      <c r="G920" s="181" t="s">
        <v>445</v>
      </c>
      <c r="H920" s="38" t="s">
        <v>29</v>
      </c>
      <c r="I920" s="282">
        <f>I921+I923</f>
        <v>0</v>
      </c>
      <c r="J920" s="282">
        <f>J921+J923</f>
        <v>0</v>
      </c>
      <c r="K920" s="282">
        <f>K921+K923</f>
        <v>0</v>
      </c>
      <c r="L920" s="31"/>
      <c r="M920" s="31"/>
      <c r="N920" s="410"/>
      <c r="O920" s="196"/>
    </row>
    <row r="921" spans="1:16" ht="30" hidden="1" customHeight="1" x14ac:dyDescent="0.25">
      <c r="A921" s="174"/>
      <c r="B921" s="174"/>
      <c r="C921" s="174"/>
      <c r="D921" s="174"/>
      <c r="E921" s="171" t="s">
        <v>135</v>
      </c>
      <c r="F921" s="38"/>
      <c r="G921" s="181" t="s">
        <v>445</v>
      </c>
      <c r="H921" s="38" t="s">
        <v>136</v>
      </c>
      <c r="I921" s="282">
        <f>I922</f>
        <v>0</v>
      </c>
      <c r="J921" s="282">
        <f>J922</f>
        <v>0</v>
      </c>
      <c r="K921" s="282">
        <f>K922</f>
        <v>0</v>
      </c>
      <c r="L921" s="31"/>
      <c r="M921" s="31"/>
      <c r="N921" s="410"/>
      <c r="O921" s="196"/>
    </row>
    <row r="922" spans="1:16" ht="30" hidden="1" customHeight="1" x14ac:dyDescent="0.25">
      <c r="A922" s="174"/>
      <c r="B922" s="174"/>
      <c r="C922" s="174"/>
      <c r="D922" s="174"/>
      <c r="E922" s="171"/>
      <c r="F922" s="38" t="s">
        <v>137</v>
      </c>
      <c r="G922" s="181" t="s">
        <v>445</v>
      </c>
      <c r="H922" s="38" t="s">
        <v>136</v>
      </c>
      <c r="I922" s="282">
        <v>0</v>
      </c>
      <c r="J922" s="282">
        <f>K922-I922</f>
        <v>0</v>
      </c>
      <c r="K922" s="282">
        <v>0</v>
      </c>
      <c r="L922" s="31"/>
      <c r="M922" s="31"/>
      <c r="N922" s="410"/>
      <c r="O922" s="196"/>
    </row>
    <row r="923" spans="1:16" s="55" customFormat="1" ht="30" hidden="1" customHeight="1" x14ac:dyDescent="0.25">
      <c r="A923" s="174"/>
      <c r="B923" s="174"/>
      <c r="C923" s="174"/>
      <c r="D923" s="174"/>
      <c r="E923" s="171" t="s">
        <v>138</v>
      </c>
      <c r="F923" s="38"/>
      <c r="G923" s="181" t="s">
        <v>445</v>
      </c>
      <c r="H923" s="38" t="s">
        <v>139</v>
      </c>
      <c r="I923" s="282">
        <f>I924</f>
        <v>0</v>
      </c>
      <c r="J923" s="282">
        <f>J924</f>
        <v>0</v>
      </c>
      <c r="K923" s="282">
        <f>K924</f>
        <v>0</v>
      </c>
      <c r="L923" s="54"/>
      <c r="M923" s="54"/>
      <c r="N923" s="410"/>
      <c r="O923" s="196"/>
      <c r="P923" s="277"/>
    </row>
    <row r="924" spans="1:16" s="55" customFormat="1" ht="30" hidden="1" customHeight="1" x14ac:dyDescent="0.25">
      <c r="A924" s="174"/>
      <c r="B924" s="174"/>
      <c r="C924" s="174"/>
      <c r="D924" s="174"/>
      <c r="E924" s="171"/>
      <c r="F924" s="38" t="s">
        <v>140</v>
      </c>
      <c r="G924" s="181" t="s">
        <v>445</v>
      </c>
      <c r="H924" s="38" t="s">
        <v>139</v>
      </c>
      <c r="I924" s="282">
        <v>0</v>
      </c>
      <c r="J924" s="282">
        <f>K924-I924</f>
        <v>0</v>
      </c>
      <c r="K924" s="282">
        <v>0</v>
      </c>
      <c r="L924" s="54"/>
      <c r="M924" s="54"/>
      <c r="N924" s="410"/>
      <c r="O924" s="196"/>
      <c r="P924" s="277"/>
    </row>
    <row r="925" spans="1:16" ht="30" hidden="1" customHeight="1" x14ac:dyDescent="0.25">
      <c r="A925" s="174"/>
      <c r="B925" s="174"/>
      <c r="C925" s="174"/>
      <c r="D925" s="175">
        <v>3223</v>
      </c>
      <c r="E925" s="175"/>
      <c r="F925" s="56"/>
      <c r="G925" s="181" t="s">
        <v>445</v>
      </c>
      <c r="H925" s="53" t="s">
        <v>30</v>
      </c>
      <c r="I925" s="282">
        <f>I926+I929+I931</f>
        <v>0</v>
      </c>
      <c r="J925" s="282">
        <f>J926+J929+J931</f>
        <v>0</v>
      </c>
      <c r="K925" s="282">
        <f>K926+K929+K931</f>
        <v>0</v>
      </c>
      <c r="L925" s="31"/>
      <c r="M925" s="31"/>
      <c r="N925" s="410"/>
      <c r="O925" s="196"/>
    </row>
    <row r="926" spans="1:16" ht="30" hidden="1" customHeight="1" x14ac:dyDescent="0.25">
      <c r="A926" s="174"/>
      <c r="B926" s="174"/>
      <c r="C926" s="174"/>
      <c r="D926" s="175"/>
      <c r="E926" s="171" t="s">
        <v>141</v>
      </c>
      <c r="F926" s="38"/>
      <c r="G926" s="181" t="s">
        <v>445</v>
      </c>
      <c r="H926" s="38" t="s">
        <v>142</v>
      </c>
      <c r="I926" s="282">
        <f>I927+I928</f>
        <v>0</v>
      </c>
      <c r="J926" s="282">
        <f>J927+J928</f>
        <v>0</v>
      </c>
      <c r="K926" s="282">
        <f>K927+K928</f>
        <v>0</v>
      </c>
      <c r="L926" s="31"/>
      <c r="M926" s="31"/>
      <c r="N926" s="410"/>
      <c r="O926" s="196"/>
    </row>
    <row r="927" spans="1:16" ht="30" hidden="1" customHeight="1" x14ac:dyDescent="0.25">
      <c r="A927" s="174"/>
      <c r="B927" s="174"/>
      <c r="C927" s="174"/>
      <c r="D927" s="175"/>
      <c r="E927" s="171"/>
      <c r="F927" s="38" t="s">
        <v>143</v>
      </c>
      <c r="G927" s="181" t="s">
        <v>445</v>
      </c>
      <c r="H927" s="38" t="s">
        <v>142</v>
      </c>
      <c r="I927" s="282">
        <v>0</v>
      </c>
      <c r="J927" s="282">
        <f>K927-I927</f>
        <v>0</v>
      </c>
      <c r="K927" s="282">
        <v>0</v>
      </c>
      <c r="L927" s="31"/>
      <c r="M927" s="31"/>
      <c r="N927" s="410"/>
      <c r="O927" s="196"/>
    </row>
    <row r="928" spans="1:16" ht="30" hidden="1" customHeight="1" x14ac:dyDescent="0.25">
      <c r="A928" s="174"/>
      <c r="B928" s="174"/>
      <c r="C928" s="174"/>
      <c r="D928" s="175"/>
      <c r="E928" s="171"/>
      <c r="F928" s="38" t="s">
        <v>144</v>
      </c>
      <c r="G928" s="181" t="s">
        <v>445</v>
      </c>
      <c r="H928" s="38" t="s">
        <v>322</v>
      </c>
      <c r="I928" s="282">
        <v>0</v>
      </c>
      <c r="J928" s="282">
        <f>K928-I928</f>
        <v>0</v>
      </c>
      <c r="K928" s="282">
        <v>0</v>
      </c>
      <c r="L928" s="31"/>
      <c r="M928" s="31"/>
      <c r="N928" s="410"/>
      <c r="O928" s="196"/>
    </row>
    <row r="929" spans="1:20" ht="30" hidden="1" customHeight="1" x14ac:dyDescent="0.25">
      <c r="A929" s="174"/>
      <c r="B929" s="174"/>
      <c r="C929" s="174"/>
      <c r="D929" s="175"/>
      <c r="E929" s="171" t="s">
        <v>146</v>
      </c>
      <c r="F929" s="38"/>
      <c r="G929" s="181" t="s">
        <v>445</v>
      </c>
      <c r="H929" s="38" t="s">
        <v>147</v>
      </c>
      <c r="I929" s="282">
        <f>I930</f>
        <v>0</v>
      </c>
      <c r="J929" s="282">
        <f>J930</f>
        <v>0</v>
      </c>
      <c r="K929" s="282">
        <f>K930</f>
        <v>0</v>
      </c>
      <c r="L929" s="31"/>
      <c r="M929" s="31"/>
      <c r="N929" s="410"/>
      <c r="O929" s="196"/>
    </row>
    <row r="930" spans="1:20" ht="30" hidden="1" customHeight="1" x14ac:dyDescent="0.25">
      <c r="A930" s="174"/>
      <c r="B930" s="174"/>
      <c r="C930" s="174"/>
      <c r="D930" s="175"/>
      <c r="E930" s="171"/>
      <c r="F930" s="38" t="s">
        <v>148</v>
      </c>
      <c r="G930" s="181" t="s">
        <v>445</v>
      </c>
      <c r="H930" s="38" t="s">
        <v>147</v>
      </c>
      <c r="I930" s="282">
        <v>0</v>
      </c>
      <c r="J930" s="282">
        <f>K930-I930</f>
        <v>0</v>
      </c>
      <c r="K930" s="282">
        <v>0</v>
      </c>
      <c r="L930" s="31"/>
      <c r="M930" s="31"/>
      <c r="N930" s="410"/>
      <c r="O930" s="196"/>
    </row>
    <row r="931" spans="1:20" ht="30" hidden="1" customHeight="1" x14ac:dyDescent="0.25">
      <c r="A931" s="174"/>
      <c r="B931" s="174"/>
      <c r="C931" s="174"/>
      <c r="D931" s="175"/>
      <c r="E931" s="171" t="s">
        <v>149</v>
      </c>
      <c r="F931" s="38"/>
      <c r="G931" s="181" t="s">
        <v>445</v>
      </c>
      <c r="H931" s="38" t="s">
        <v>150</v>
      </c>
      <c r="I931" s="282">
        <f>I932</f>
        <v>0</v>
      </c>
      <c r="J931" s="282">
        <f>J932</f>
        <v>0</v>
      </c>
      <c r="K931" s="282">
        <f>K932</f>
        <v>0</v>
      </c>
      <c r="L931" s="31"/>
      <c r="M931" s="31"/>
      <c r="N931" s="410"/>
      <c r="O931" s="196"/>
    </row>
    <row r="932" spans="1:20" ht="30" hidden="1" customHeight="1" x14ac:dyDescent="0.25">
      <c r="A932" s="174"/>
      <c r="B932" s="174"/>
      <c r="C932" s="174"/>
      <c r="D932" s="175"/>
      <c r="E932" s="171"/>
      <c r="F932" s="38" t="s">
        <v>151</v>
      </c>
      <c r="G932" s="181" t="s">
        <v>445</v>
      </c>
      <c r="H932" s="38" t="s">
        <v>150</v>
      </c>
      <c r="I932" s="282">
        <v>0</v>
      </c>
      <c r="J932" s="282">
        <f>K932-I932</f>
        <v>0</v>
      </c>
      <c r="K932" s="282">
        <v>0</v>
      </c>
      <c r="L932" s="31"/>
      <c r="M932" s="31"/>
      <c r="N932" s="410"/>
      <c r="O932" s="196"/>
    </row>
    <row r="933" spans="1:20" s="154" customFormat="1" ht="30" hidden="1" customHeight="1" x14ac:dyDescent="0.25">
      <c r="A933" s="176"/>
      <c r="B933" s="176"/>
      <c r="C933" s="172">
        <v>323</v>
      </c>
      <c r="D933" s="172"/>
      <c r="E933" s="172"/>
      <c r="F933" s="42"/>
      <c r="G933" s="181"/>
      <c r="H933" s="43" t="s">
        <v>34</v>
      </c>
      <c r="I933" s="281">
        <f>I934+I943+I946+I949+I957+I964+I967</f>
        <v>0</v>
      </c>
      <c r="J933" s="281">
        <f>J934+J943+J946+J949+J957+J964+J967</f>
        <v>0</v>
      </c>
      <c r="K933" s="281">
        <f>K934+K943+K946+K949+K957+K964+K967</f>
        <v>0</v>
      </c>
      <c r="L933" s="148"/>
      <c r="M933" s="148"/>
      <c r="N933" s="410"/>
      <c r="O933" s="196"/>
      <c r="P933" s="411"/>
      <c r="Q933" s="153"/>
      <c r="R933" s="153"/>
    </row>
    <row r="934" spans="1:20" ht="30" hidden="1" customHeight="1" x14ac:dyDescent="0.25">
      <c r="A934" s="174"/>
      <c r="B934" s="174"/>
      <c r="C934" s="174"/>
      <c r="D934" s="174">
        <v>3231</v>
      </c>
      <c r="E934" s="174"/>
      <c r="F934" s="44"/>
      <c r="G934" s="181" t="s">
        <v>445</v>
      </c>
      <c r="H934" s="38" t="s">
        <v>353</v>
      </c>
      <c r="I934" s="282">
        <f t="shared" ref="I934:K934" si="172">I935+I937+I939+I941</f>
        <v>0</v>
      </c>
      <c r="J934" s="282">
        <f t="shared" si="172"/>
        <v>0</v>
      </c>
      <c r="K934" s="282">
        <f t="shared" si="172"/>
        <v>0</v>
      </c>
      <c r="L934" s="31"/>
      <c r="M934" s="31"/>
      <c r="N934" s="410"/>
      <c r="O934" s="196"/>
    </row>
    <row r="935" spans="1:20" ht="30" hidden="1" customHeight="1" x14ac:dyDescent="0.25">
      <c r="A935" s="174"/>
      <c r="B935" s="174"/>
      <c r="C935" s="174"/>
      <c r="D935" s="174"/>
      <c r="E935" s="171" t="s">
        <v>167</v>
      </c>
      <c r="F935" s="38"/>
      <c r="G935" s="181" t="s">
        <v>445</v>
      </c>
      <c r="H935" s="38" t="s">
        <v>168</v>
      </c>
      <c r="I935" s="282">
        <f>I936</f>
        <v>0</v>
      </c>
      <c r="J935" s="282">
        <f>J936</f>
        <v>0</v>
      </c>
      <c r="K935" s="282">
        <f>K936</f>
        <v>0</v>
      </c>
      <c r="L935" s="31"/>
      <c r="M935" s="31"/>
      <c r="N935" s="410"/>
      <c r="O935" s="196"/>
    </row>
    <row r="936" spans="1:20" ht="30" hidden="1" customHeight="1" x14ac:dyDescent="0.25">
      <c r="A936" s="174"/>
      <c r="B936" s="174"/>
      <c r="C936" s="174"/>
      <c r="D936" s="174"/>
      <c r="E936" s="171"/>
      <c r="F936" s="38" t="s">
        <v>169</v>
      </c>
      <c r="G936" s="181" t="s">
        <v>445</v>
      </c>
      <c r="H936" s="38" t="s">
        <v>168</v>
      </c>
      <c r="I936" s="282">
        <v>0</v>
      </c>
      <c r="J936" s="282">
        <f>K936-I936</f>
        <v>0</v>
      </c>
      <c r="K936" s="282">
        <v>0</v>
      </c>
      <c r="L936" s="31"/>
      <c r="M936" s="31"/>
      <c r="N936" s="410"/>
      <c r="O936" s="196"/>
    </row>
    <row r="937" spans="1:20" ht="30" hidden="1" customHeight="1" x14ac:dyDescent="0.25">
      <c r="A937" s="174"/>
      <c r="B937" s="174"/>
      <c r="C937" s="174"/>
      <c r="D937" s="174"/>
      <c r="E937" s="171" t="s">
        <v>170</v>
      </c>
      <c r="F937" s="38"/>
      <c r="G937" s="181" t="s">
        <v>445</v>
      </c>
      <c r="H937" s="38" t="s">
        <v>171</v>
      </c>
      <c r="I937" s="282">
        <f>I938</f>
        <v>0</v>
      </c>
      <c r="J937" s="282">
        <f>J938</f>
        <v>0</v>
      </c>
      <c r="K937" s="282">
        <f>K938</f>
        <v>0</v>
      </c>
      <c r="L937" s="31"/>
      <c r="M937" s="31"/>
      <c r="N937" s="410"/>
      <c r="O937" s="196"/>
    </row>
    <row r="938" spans="1:20" ht="30" hidden="1" customHeight="1" x14ac:dyDescent="0.25">
      <c r="A938" s="174"/>
      <c r="B938" s="174"/>
      <c r="C938" s="174"/>
      <c r="D938" s="174"/>
      <c r="E938" s="171"/>
      <c r="F938" s="38" t="s">
        <v>172</v>
      </c>
      <c r="G938" s="181" t="s">
        <v>445</v>
      </c>
      <c r="H938" s="38" t="s">
        <v>171</v>
      </c>
      <c r="I938" s="282">
        <v>0</v>
      </c>
      <c r="J938" s="282">
        <f>K938-I938</f>
        <v>0</v>
      </c>
      <c r="K938" s="282">
        <v>0</v>
      </c>
      <c r="L938" s="31"/>
      <c r="M938" s="31"/>
      <c r="N938" s="410"/>
      <c r="O938" s="196"/>
    </row>
    <row r="939" spans="1:20" ht="30" hidden="1" customHeight="1" x14ac:dyDescent="0.25">
      <c r="A939" s="174"/>
      <c r="B939" s="174"/>
      <c r="C939" s="174"/>
      <c r="D939" s="174"/>
      <c r="E939" s="171" t="s">
        <v>173</v>
      </c>
      <c r="F939" s="38"/>
      <c r="G939" s="181" t="s">
        <v>445</v>
      </c>
      <c r="H939" s="38" t="s">
        <v>174</v>
      </c>
      <c r="I939" s="282">
        <f>I940</f>
        <v>0</v>
      </c>
      <c r="J939" s="282">
        <f>J940</f>
        <v>0</v>
      </c>
      <c r="K939" s="282">
        <f>K940</f>
        <v>0</v>
      </c>
      <c r="L939" s="31"/>
      <c r="M939" s="31"/>
      <c r="N939" s="410"/>
      <c r="O939" s="196"/>
    </row>
    <row r="940" spans="1:20" s="411" customFormat="1" ht="30" hidden="1" customHeight="1" x14ac:dyDescent="0.25">
      <c r="A940" s="174"/>
      <c r="B940" s="174"/>
      <c r="C940" s="174"/>
      <c r="D940" s="174"/>
      <c r="E940" s="171"/>
      <c r="F940" s="38" t="s">
        <v>175</v>
      </c>
      <c r="G940" s="181" t="s">
        <v>445</v>
      </c>
      <c r="H940" s="38" t="s">
        <v>174</v>
      </c>
      <c r="I940" s="282">
        <v>0</v>
      </c>
      <c r="J940" s="282">
        <f>K940-I940</f>
        <v>0</v>
      </c>
      <c r="K940" s="282">
        <v>0</v>
      </c>
      <c r="L940" s="31"/>
      <c r="M940" s="31"/>
      <c r="N940" s="410"/>
      <c r="O940" s="196"/>
      <c r="Q940" s="268"/>
      <c r="R940" s="268"/>
      <c r="S940" s="194"/>
      <c r="T940" s="194"/>
    </row>
    <row r="941" spans="1:20" s="411" customFormat="1" ht="30" hidden="1" customHeight="1" x14ac:dyDescent="0.25">
      <c r="A941" s="174"/>
      <c r="B941" s="174"/>
      <c r="C941" s="174"/>
      <c r="D941" s="174"/>
      <c r="E941" s="171" t="s">
        <v>176</v>
      </c>
      <c r="F941" s="38"/>
      <c r="G941" s="181" t="s">
        <v>445</v>
      </c>
      <c r="H941" s="38" t="s">
        <v>177</v>
      </c>
      <c r="I941" s="282">
        <f>I942</f>
        <v>0</v>
      </c>
      <c r="J941" s="282">
        <f>J942</f>
        <v>0</v>
      </c>
      <c r="K941" s="282">
        <f>K942</f>
        <v>0</v>
      </c>
      <c r="L941" s="31"/>
      <c r="M941" s="31"/>
      <c r="N941" s="410"/>
      <c r="O941" s="196"/>
      <c r="Q941" s="268"/>
      <c r="R941" s="268"/>
      <c r="S941" s="194"/>
      <c r="T941" s="194"/>
    </row>
    <row r="942" spans="1:20" s="411" customFormat="1" ht="30" hidden="1" customHeight="1" x14ac:dyDescent="0.25">
      <c r="A942" s="174"/>
      <c r="B942" s="174"/>
      <c r="C942" s="174"/>
      <c r="D942" s="174"/>
      <c r="E942" s="171"/>
      <c r="F942" s="38" t="s">
        <v>178</v>
      </c>
      <c r="G942" s="181" t="s">
        <v>445</v>
      </c>
      <c r="H942" s="38" t="s">
        <v>177</v>
      </c>
      <c r="I942" s="282">
        <v>0</v>
      </c>
      <c r="J942" s="282">
        <f>K942-I942</f>
        <v>0</v>
      </c>
      <c r="K942" s="282">
        <v>0</v>
      </c>
      <c r="L942" s="31"/>
      <c r="M942" s="31"/>
      <c r="N942" s="410"/>
      <c r="O942" s="196"/>
      <c r="Q942" s="268"/>
      <c r="R942" s="268"/>
      <c r="S942" s="194"/>
      <c r="T942" s="194"/>
    </row>
    <row r="943" spans="1:20" s="411" customFormat="1" ht="30" hidden="1" customHeight="1" x14ac:dyDescent="0.25">
      <c r="A943" s="174"/>
      <c r="B943" s="174"/>
      <c r="C943" s="174"/>
      <c r="D943" s="174">
        <v>3232</v>
      </c>
      <c r="E943" s="174"/>
      <c r="F943" s="44"/>
      <c r="G943" s="181" t="s">
        <v>445</v>
      </c>
      <c r="H943" s="38" t="s">
        <v>36</v>
      </c>
      <c r="I943" s="282">
        <f t="shared" ref="I943:K944" si="173">I944</f>
        <v>0</v>
      </c>
      <c r="J943" s="282">
        <f t="shared" si="173"/>
        <v>0</v>
      </c>
      <c r="K943" s="282">
        <f t="shared" si="173"/>
        <v>0</v>
      </c>
      <c r="L943" s="31"/>
      <c r="M943" s="31"/>
      <c r="N943" s="410"/>
      <c r="O943" s="196"/>
      <c r="Q943" s="268"/>
      <c r="R943" s="268"/>
      <c r="S943" s="194"/>
      <c r="T943" s="194"/>
    </row>
    <row r="944" spans="1:20" s="411" customFormat="1" ht="30" hidden="1" customHeight="1" x14ac:dyDescent="0.25">
      <c r="A944" s="174"/>
      <c r="B944" s="174"/>
      <c r="C944" s="174"/>
      <c r="D944" s="174"/>
      <c r="E944" s="171" t="s">
        <v>179</v>
      </c>
      <c r="F944" s="38"/>
      <c r="G944" s="181" t="s">
        <v>445</v>
      </c>
      <c r="H944" s="38" t="s">
        <v>374</v>
      </c>
      <c r="I944" s="282">
        <f t="shared" si="173"/>
        <v>0</v>
      </c>
      <c r="J944" s="282">
        <f t="shared" si="173"/>
        <v>0</v>
      </c>
      <c r="K944" s="282">
        <f t="shared" si="173"/>
        <v>0</v>
      </c>
      <c r="L944" s="31"/>
      <c r="M944" s="31"/>
      <c r="N944" s="410"/>
      <c r="O944" s="196"/>
      <c r="Q944" s="268"/>
      <c r="R944" s="268"/>
      <c r="S944" s="194"/>
      <c r="T944" s="194"/>
    </row>
    <row r="945" spans="1:20" s="411" customFormat="1" ht="30" hidden="1" customHeight="1" x14ac:dyDescent="0.25">
      <c r="A945" s="174"/>
      <c r="B945" s="174"/>
      <c r="C945" s="174"/>
      <c r="D945" s="174"/>
      <c r="E945" s="171"/>
      <c r="F945" s="38" t="s">
        <v>181</v>
      </c>
      <c r="G945" s="181" t="s">
        <v>445</v>
      </c>
      <c r="H945" s="38" t="s">
        <v>180</v>
      </c>
      <c r="I945" s="282">
        <v>0</v>
      </c>
      <c r="J945" s="282">
        <f>K945-I945</f>
        <v>0</v>
      </c>
      <c r="K945" s="282">
        <v>0</v>
      </c>
      <c r="L945" s="31"/>
      <c r="M945" s="31"/>
      <c r="N945" s="410"/>
      <c r="O945" s="196"/>
      <c r="Q945" s="268"/>
      <c r="R945" s="268"/>
      <c r="S945" s="194"/>
      <c r="T945" s="194"/>
    </row>
    <row r="946" spans="1:20" s="411" customFormat="1" ht="30" hidden="1" customHeight="1" x14ac:dyDescent="0.25">
      <c r="A946" s="174"/>
      <c r="B946" s="174"/>
      <c r="C946" s="174"/>
      <c r="D946" s="174">
        <v>3233</v>
      </c>
      <c r="E946" s="174"/>
      <c r="F946" s="44"/>
      <c r="G946" s="181" t="s">
        <v>445</v>
      </c>
      <c r="H946" s="38" t="s">
        <v>37</v>
      </c>
      <c r="I946" s="282">
        <f t="shared" ref="I946:K947" si="174">I947</f>
        <v>0</v>
      </c>
      <c r="J946" s="282">
        <f t="shared" si="174"/>
        <v>0</v>
      </c>
      <c r="K946" s="282">
        <f t="shared" si="174"/>
        <v>0</v>
      </c>
      <c r="L946" s="31"/>
      <c r="M946" s="31"/>
      <c r="N946" s="410"/>
      <c r="O946" s="196"/>
      <c r="Q946" s="268"/>
      <c r="R946" s="268"/>
      <c r="S946" s="194"/>
      <c r="T946" s="194"/>
    </row>
    <row r="947" spans="1:20" s="411" customFormat="1" ht="30" hidden="1" customHeight="1" x14ac:dyDescent="0.25">
      <c r="A947" s="174"/>
      <c r="B947" s="174"/>
      <c r="C947" s="174"/>
      <c r="D947" s="174"/>
      <c r="E947" s="171" t="s">
        <v>182</v>
      </c>
      <c r="F947" s="38"/>
      <c r="G947" s="181" t="s">
        <v>445</v>
      </c>
      <c r="H947" s="38" t="s">
        <v>183</v>
      </c>
      <c r="I947" s="282">
        <f t="shared" si="174"/>
        <v>0</v>
      </c>
      <c r="J947" s="282">
        <f t="shared" si="174"/>
        <v>0</v>
      </c>
      <c r="K947" s="282">
        <f t="shared" si="174"/>
        <v>0</v>
      </c>
      <c r="L947" s="31"/>
      <c r="M947" s="31"/>
      <c r="N947" s="410"/>
      <c r="O947" s="196"/>
      <c r="Q947" s="268"/>
      <c r="R947" s="268"/>
      <c r="S947" s="194"/>
      <c r="T947" s="194"/>
    </row>
    <row r="948" spans="1:20" s="411" customFormat="1" ht="30" hidden="1" customHeight="1" x14ac:dyDescent="0.25">
      <c r="A948" s="174"/>
      <c r="B948" s="174"/>
      <c r="C948" s="174"/>
      <c r="D948" s="174"/>
      <c r="E948" s="171"/>
      <c r="F948" s="38" t="s">
        <v>184</v>
      </c>
      <c r="G948" s="181" t="s">
        <v>445</v>
      </c>
      <c r="H948" s="38" t="s">
        <v>183</v>
      </c>
      <c r="I948" s="282">
        <v>0</v>
      </c>
      <c r="J948" s="282">
        <f>K948-I948</f>
        <v>0</v>
      </c>
      <c r="K948" s="282">
        <v>0</v>
      </c>
      <c r="L948" s="31"/>
      <c r="M948" s="31"/>
      <c r="N948" s="410"/>
      <c r="O948" s="196"/>
      <c r="Q948" s="268"/>
      <c r="R948" s="268"/>
      <c r="S948" s="194"/>
      <c r="T948" s="194"/>
    </row>
    <row r="949" spans="1:20" s="411" customFormat="1" ht="30" hidden="1" customHeight="1" x14ac:dyDescent="0.25">
      <c r="A949" s="174"/>
      <c r="B949" s="174"/>
      <c r="C949" s="174"/>
      <c r="D949" s="174">
        <v>3234</v>
      </c>
      <c r="E949" s="174"/>
      <c r="F949" s="44"/>
      <c r="G949" s="181" t="s">
        <v>445</v>
      </c>
      <c r="H949" s="38" t="s">
        <v>354</v>
      </c>
      <c r="I949" s="282">
        <f>I950+I952+I954</f>
        <v>0</v>
      </c>
      <c r="J949" s="282">
        <f>J950+J952+J954</f>
        <v>0</v>
      </c>
      <c r="K949" s="282">
        <f>K950+K952+K954</f>
        <v>0</v>
      </c>
      <c r="L949" s="31"/>
      <c r="M949" s="31"/>
      <c r="N949" s="410"/>
      <c r="O949" s="196"/>
      <c r="Q949" s="268"/>
      <c r="R949" s="268"/>
      <c r="S949" s="194"/>
      <c r="T949" s="194"/>
    </row>
    <row r="950" spans="1:20" s="411" customFormat="1" ht="30" hidden="1" customHeight="1" x14ac:dyDescent="0.25">
      <c r="A950" s="174"/>
      <c r="B950" s="174"/>
      <c r="C950" s="174"/>
      <c r="D950" s="174"/>
      <c r="E950" s="171" t="s">
        <v>185</v>
      </c>
      <c r="F950" s="38"/>
      <c r="G950" s="181" t="s">
        <v>445</v>
      </c>
      <c r="H950" s="38" t="s">
        <v>186</v>
      </c>
      <c r="I950" s="282">
        <f>I951</f>
        <v>0</v>
      </c>
      <c r="J950" s="282">
        <f>J951</f>
        <v>0</v>
      </c>
      <c r="K950" s="282">
        <f>K951</f>
        <v>0</v>
      </c>
      <c r="L950" s="31"/>
      <c r="M950" s="31"/>
      <c r="N950" s="410"/>
      <c r="O950" s="196"/>
      <c r="Q950" s="268"/>
      <c r="R950" s="268"/>
      <c r="S950" s="194"/>
      <c r="T950" s="194"/>
    </row>
    <row r="951" spans="1:20" s="411" customFormat="1" ht="30" hidden="1" customHeight="1" x14ac:dyDescent="0.25">
      <c r="A951" s="174"/>
      <c r="B951" s="174"/>
      <c r="C951" s="174"/>
      <c r="D951" s="174"/>
      <c r="E951" s="171"/>
      <c r="F951" s="38" t="s">
        <v>187</v>
      </c>
      <c r="G951" s="181" t="s">
        <v>445</v>
      </c>
      <c r="H951" s="38" t="s">
        <v>186</v>
      </c>
      <c r="I951" s="282">
        <v>0</v>
      </c>
      <c r="J951" s="282">
        <f>K951-I951</f>
        <v>0</v>
      </c>
      <c r="K951" s="282">
        <v>0</v>
      </c>
      <c r="L951" s="31"/>
      <c r="M951" s="31"/>
      <c r="N951" s="410"/>
      <c r="O951" s="196"/>
      <c r="Q951" s="268"/>
      <c r="R951" s="268"/>
      <c r="S951" s="194"/>
      <c r="T951" s="194"/>
    </row>
    <row r="952" spans="1:20" s="411" customFormat="1" ht="30" hidden="1" customHeight="1" x14ac:dyDescent="0.25">
      <c r="A952" s="174"/>
      <c r="B952" s="174"/>
      <c r="C952" s="174"/>
      <c r="D952" s="174"/>
      <c r="E952" s="171" t="s">
        <v>188</v>
      </c>
      <c r="F952" s="38"/>
      <c r="G952" s="181" t="s">
        <v>445</v>
      </c>
      <c r="H952" s="38" t="s">
        <v>189</v>
      </c>
      <c r="I952" s="282">
        <f>I953</f>
        <v>0</v>
      </c>
      <c r="J952" s="282">
        <f>J953</f>
        <v>0</v>
      </c>
      <c r="K952" s="282">
        <f>K953</f>
        <v>0</v>
      </c>
      <c r="L952" s="31"/>
      <c r="M952" s="31"/>
      <c r="N952" s="410"/>
      <c r="O952" s="196"/>
      <c r="Q952" s="268"/>
      <c r="R952" s="268"/>
      <c r="S952" s="194"/>
      <c r="T952" s="194"/>
    </row>
    <row r="953" spans="1:20" s="411" customFormat="1" ht="30" hidden="1" customHeight="1" x14ac:dyDescent="0.25">
      <c r="A953" s="174"/>
      <c r="B953" s="174"/>
      <c r="C953" s="174"/>
      <c r="D953" s="174"/>
      <c r="E953" s="171"/>
      <c r="F953" s="38" t="s">
        <v>190</v>
      </c>
      <c r="G953" s="181" t="s">
        <v>445</v>
      </c>
      <c r="H953" s="38" t="s">
        <v>189</v>
      </c>
      <c r="I953" s="282">
        <v>0</v>
      </c>
      <c r="J953" s="282">
        <f>K953-I953</f>
        <v>0</v>
      </c>
      <c r="K953" s="282">
        <v>0</v>
      </c>
      <c r="L953" s="31"/>
      <c r="M953" s="31"/>
      <c r="N953" s="410"/>
      <c r="O953" s="196"/>
      <c r="Q953" s="268"/>
      <c r="R953" s="268"/>
      <c r="S953" s="194"/>
      <c r="T953" s="194"/>
    </row>
    <row r="954" spans="1:20" s="411" customFormat="1" ht="30" hidden="1" customHeight="1" x14ac:dyDescent="0.25">
      <c r="A954" s="174"/>
      <c r="B954" s="174"/>
      <c r="C954" s="174"/>
      <c r="D954" s="174"/>
      <c r="E954" s="171" t="s">
        <v>191</v>
      </c>
      <c r="F954" s="38"/>
      <c r="G954" s="181" t="s">
        <v>445</v>
      </c>
      <c r="H954" s="38" t="s">
        <v>192</v>
      </c>
      <c r="I954" s="282">
        <f>I955+I956</f>
        <v>0</v>
      </c>
      <c r="J954" s="282">
        <f>J955+J956</f>
        <v>0</v>
      </c>
      <c r="K954" s="282">
        <f>K955+K956</f>
        <v>0</v>
      </c>
      <c r="L954" s="31"/>
      <c r="M954" s="31"/>
      <c r="N954" s="410"/>
      <c r="O954" s="196"/>
      <c r="Q954" s="268"/>
      <c r="R954" s="268"/>
      <c r="S954" s="194"/>
      <c r="T954" s="194"/>
    </row>
    <row r="955" spans="1:20" s="411" customFormat="1" ht="30" hidden="1" customHeight="1" x14ac:dyDescent="0.25">
      <c r="A955" s="174"/>
      <c r="B955" s="174"/>
      <c r="C955" s="174"/>
      <c r="D955" s="174"/>
      <c r="E955" s="171"/>
      <c r="F955" s="38" t="s">
        <v>193</v>
      </c>
      <c r="G955" s="181" t="s">
        <v>445</v>
      </c>
      <c r="H955" s="38" t="s">
        <v>192</v>
      </c>
      <c r="I955" s="282">
        <v>0</v>
      </c>
      <c r="J955" s="282">
        <f>K955-I955</f>
        <v>0</v>
      </c>
      <c r="K955" s="282">
        <v>0</v>
      </c>
      <c r="L955" s="31"/>
      <c r="M955" s="31"/>
      <c r="N955" s="410"/>
      <c r="O955" s="196"/>
      <c r="Q955" s="268"/>
      <c r="R955" s="268"/>
      <c r="S955" s="194"/>
      <c r="T955" s="194"/>
    </row>
    <row r="956" spans="1:20" s="411" customFormat="1" ht="30" hidden="1" customHeight="1" x14ac:dyDescent="0.25">
      <c r="A956" s="174"/>
      <c r="B956" s="174"/>
      <c r="C956" s="174"/>
      <c r="D956" s="174"/>
      <c r="E956" s="171"/>
      <c r="F956" s="38" t="s">
        <v>194</v>
      </c>
      <c r="G956" s="181" t="s">
        <v>445</v>
      </c>
      <c r="H956" s="38" t="s">
        <v>195</v>
      </c>
      <c r="I956" s="282">
        <v>0</v>
      </c>
      <c r="J956" s="282">
        <f>K956-I956</f>
        <v>0</v>
      </c>
      <c r="K956" s="282">
        <v>0</v>
      </c>
      <c r="L956" s="31"/>
      <c r="M956" s="31"/>
      <c r="N956" s="410"/>
      <c r="O956" s="196"/>
      <c r="Q956" s="268"/>
      <c r="R956" s="268"/>
      <c r="S956" s="194"/>
      <c r="T956" s="194"/>
    </row>
    <row r="957" spans="1:20" s="411" customFormat="1" ht="30" hidden="1" customHeight="1" x14ac:dyDescent="0.25">
      <c r="A957" s="174"/>
      <c r="B957" s="174"/>
      <c r="C957" s="174"/>
      <c r="D957" s="174">
        <v>3237</v>
      </c>
      <c r="E957" s="174"/>
      <c r="F957" s="44"/>
      <c r="G957" s="181" t="s">
        <v>445</v>
      </c>
      <c r="H957" s="38" t="s">
        <v>208</v>
      </c>
      <c r="I957" s="282">
        <f t="shared" ref="I957:K958" si="175">I958</f>
        <v>0</v>
      </c>
      <c r="J957" s="282">
        <f t="shared" si="175"/>
        <v>0</v>
      </c>
      <c r="K957" s="282">
        <f t="shared" si="175"/>
        <v>0</v>
      </c>
      <c r="L957" s="31"/>
      <c r="M957" s="31"/>
      <c r="N957" s="410"/>
      <c r="O957" s="196"/>
      <c r="Q957" s="268"/>
      <c r="R957" s="268"/>
      <c r="S957" s="194"/>
      <c r="T957" s="194"/>
    </row>
    <row r="958" spans="1:20" s="411" customFormat="1" ht="30" hidden="1" customHeight="1" x14ac:dyDescent="0.25">
      <c r="A958" s="174"/>
      <c r="B958" s="174"/>
      <c r="C958" s="174"/>
      <c r="D958" s="174"/>
      <c r="E958" s="171" t="s">
        <v>209</v>
      </c>
      <c r="F958" s="38"/>
      <c r="G958" s="181" t="s">
        <v>445</v>
      </c>
      <c r="H958" s="38" t="s">
        <v>210</v>
      </c>
      <c r="I958" s="282">
        <f t="shared" si="175"/>
        <v>0</v>
      </c>
      <c r="J958" s="282">
        <f t="shared" si="175"/>
        <v>0</v>
      </c>
      <c r="K958" s="282">
        <f t="shared" si="175"/>
        <v>0</v>
      </c>
      <c r="L958" s="31"/>
      <c r="M958" s="31"/>
      <c r="N958" s="410"/>
      <c r="O958" s="196"/>
      <c r="Q958" s="268"/>
      <c r="R958" s="268"/>
      <c r="S958" s="194"/>
      <c r="T958" s="194"/>
    </row>
    <row r="959" spans="1:20" s="411" customFormat="1" ht="30" hidden="1" customHeight="1" x14ac:dyDescent="0.25">
      <c r="A959" s="174"/>
      <c r="B959" s="174"/>
      <c r="C959" s="174"/>
      <c r="D959" s="174"/>
      <c r="E959" s="171"/>
      <c r="F959" s="38" t="s">
        <v>211</v>
      </c>
      <c r="G959" s="181" t="s">
        <v>445</v>
      </c>
      <c r="H959" s="38" t="s">
        <v>210</v>
      </c>
      <c r="I959" s="282">
        <v>0</v>
      </c>
      <c r="J959" s="282">
        <f>K959-I959</f>
        <v>0</v>
      </c>
      <c r="K959" s="282">
        <v>0</v>
      </c>
      <c r="L959" s="31"/>
      <c r="M959" s="31"/>
      <c r="N959" s="410"/>
      <c r="O959" s="196"/>
      <c r="Q959" s="268"/>
      <c r="R959" s="268"/>
      <c r="S959" s="194"/>
      <c r="T959" s="194"/>
    </row>
    <row r="960" spans="1:20" s="411" customFormat="1" ht="30" hidden="1" customHeight="1" x14ac:dyDescent="0.25">
      <c r="A960" s="174"/>
      <c r="B960" s="174"/>
      <c r="C960" s="174"/>
      <c r="D960" s="174"/>
      <c r="E960" s="171" t="s">
        <v>212</v>
      </c>
      <c r="F960" s="38"/>
      <c r="G960" s="181" t="s">
        <v>445</v>
      </c>
      <c r="H960" s="38" t="s">
        <v>213</v>
      </c>
      <c r="I960" s="282"/>
      <c r="J960" s="282"/>
      <c r="K960" s="282"/>
      <c r="L960" s="31"/>
      <c r="M960" s="31"/>
      <c r="N960" s="410"/>
      <c r="O960" s="196"/>
      <c r="Q960" s="268"/>
      <c r="R960" s="268"/>
      <c r="S960" s="194"/>
      <c r="T960" s="194"/>
    </row>
    <row r="961" spans="1:20" s="411" customFormat="1" ht="30" hidden="1" customHeight="1" x14ac:dyDescent="0.25">
      <c r="A961" s="174"/>
      <c r="B961" s="174"/>
      <c r="C961" s="174"/>
      <c r="D961" s="174"/>
      <c r="E961" s="171"/>
      <c r="F961" s="38" t="s">
        <v>214</v>
      </c>
      <c r="G961" s="181" t="s">
        <v>445</v>
      </c>
      <c r="H961" s="38" t="s">
        <v>213</v>
      </c>
      <c r="I961" s="282"/>
      <c r="J961" s="282"/>
      <c r="K961" s="282"/>
      <c r="L961" s="31"/>
      <c r="M961" s="31"/>
      <c r="N961" s="410"/>
      <c r="O961" s="196"/>
      <c r="Q961" s="268"/>
      <c r="R961" s="268"/>
      <c r="S961" s="194"/>
      <c r="T961" s="194"/>
    </row>
    <row r="962" spans="1:20" s="411" customFormat="1" ht="30" hidden="1" customHeight="1" x14ac:dyDescent="0.25">
      <c r="A962" s="174"/>
      <c r="B962" s="174"/>
      <c r="C962" s="174"/>
      <c r="D962" s="174"/>
      <c r="E962" s="171" t="s">
        <v>215</v>
      </c>
      <c r="F962" s="38"/>
      <c r="G962" s="181" t="s">
        <v>445</v>
      </c>
      <c r="H962" s="38" t="s">
        <v>216</v>
      </c>
      <c r="I962" s="282"/>
      <c r="J962" s="282"/>
      <c r="K962" s="282"/>
      <c r="L962" s="31"/>
      <c r="M962" s="31"/>
      <c r="N962" s="410"/>
      <c r="O962" s="196"/>
      <c r="Q962" s="268"/>
      <c r="R962" s="268"/>
      <c r="S962" s="194"/>
      <c r="T962" s="194"/>
    </row>
    <row r="963" spans="1:20" s="411" customFormat="1" ht="30" hidden="1" customHeight="1" x14ac:dyDescent="0.25">
      <c r="A963" s="174"/>
      <c r="B963" s="174"/>
      <c r="C963" s="174"/>
      <c r="D963" s="174"/>
      <c r="E963" s="171"/>
      <c r="F963" s="38" t="s">
        <v>217</v>
      </c>
      <c r="G963" s="181" t="s">
        <v>445</v>
      </c>
      <c r="H963" s="38" t="s">
        <v>216</v>
      </c>
      <c r="I963" s="282"/>
      <c r="J963" s="282"/>
      <c r="K963" s="282"/>
      <c r="L963" s="31"/>
      <c r="M963" s="31"/>
      <c r="N963" s="410"/>
      <c r="O963" s="196"/>
      <c r="Q963" s="268"/>
      <c r="R963" s="268"/>
      <c r="S963" s="194"/>
      <c r="T963" s="194"/>
    </row>
    <row r="964" spans="1:20" s="411" customFormat="1" ht="30" hidden="1" customHeight="1" x14ac:dyDescent="0.25">
      <c r="A964" s="174"/>
      <c r="B964" s="174"/>
      <c r="C964" s="174"/>
      <c r="D964" s="175">
        <v>3238</v>
      </c>
      <c r="E964" s="175"/>
      <c r="F964" s="56"/>
      <c r="G964" s="181" t="s">
        <v>445</v>
      </c>
      <c r="H964" s="53" t="s">
        <v>41</v>
      </c>
      <c r="I964" s="282">
        <f t="shared" ref="I964:K965" si="176">I965</f>
        <v>0</v>
      </c>
      <c r="J964" s="282">
        <f t="shared" si="176"/>
        <v>0</v>
      </c>
      <c r="K964" s="282">
        <f t="shared" si="176"/>
        <v>0</v>
      </c>
      <c r="L964" s="31"/>
      <c r="M964" s="31"/>
      <c r="N964" s="410"/>
      <c r="O964" s="196"/>
      <c r="Q964" s="268"/>
      <c r="R964" s="268"/>
      <c r="S964" s="194"/>
      <c r="T964" s="194"/>
    </row>
    <row r="965" spans="1:20" s="411" customFormat="1" ht="30" hidden="1" customHeight="1" x14ac:dyDescent="0.25">
      <c r="A965" s="174"/>
      <c r="B965" s="174"/>
      <c r="C965" s="174"/>
      <c r="D965" s="175"/>
      <c r="E965" s="171" t="s">
        <v>219</v>
      </c>
      <c r="F965" s="38"/>
      <c r="G965" s="181" t="s">
        <v>445</v>
      </c>
      <c r="H965" s="38" t="s">
        <v>220</v>
      </c>
      <c r="I965" s="282">
        <f t="shared" si="176"/>
        <v>0</v>
      </c>
      <c r="J965" s="282">
        <f t="shared" si="176"/>
        <v>0</v>
      </c>
      <c r="K965" s="282">
        <f t="shared" si="176"/>
        <v>0</v>
      </c>
      <c r="L965" s="31"/>
      <c r="M965" s="31"/>
      <c r="N965" s="410"/>
      <c r="O965" s="196"/>
      <c r="Q965" s="268"/>
      <c r="R965" s="268"/>
      <c r="S965" s="194"/>
      <c r="T965" s="194"/>
    </row>
    <row r="966" spans="1:20" s="411" customFormat="1" ht="30" hidden="1" customHeight="1" x14ac:dyDescent="0.25">
      <c r="A966" s="174"/>
      <c r="B966" s="174"/>
      <c r="C966" s="174"/>
      <c r="D966" s="175"/>
      <c r="E966" s="171"/>
      <c r="F966" s="38" t="s">
        <v>221</v>
      </c>
      <c r="G966" s="181" t="s">
        <v>445</v>
      </c>
      <c r="H966" s="38" t="s">
        <v>220</v>
      </c>
      <c r="I966" s="282">
        <v>0</v>
      </c>
      <c r="J966" s="282">
        <f>K966-I966</f>
        <v>0</v>
      </c>
      <c r="K966" s="282">
        <v>0</v>
      </c>
      <c r="L966" s="31"/>
      <c r="M966" s="31"/>
      <c r="N966" s="410"/>
      <c r="O966" s="196"/>
      <c r="Q966" s="268"/>
      <c r="R966" s="268"/>
      <c r="S966" s="194"/>
      <c r="T966" s="194"/>
    </row>
    <row r="967" spans="1:20" s="411" customFormat="1" ht="30" hidden="1" customHeight="1" x14ac:dyDescent="0.25">
      <c r="A967" s="174"/>
      <c r="B967" s="174"/>
      <c r="C967" s="174"/>
      <c r="D967" s="175">
        <v>3239</v>
      </c>
      <c r="E967" s="175"/>
      <c r="F967" s="56"/>
      <c r="G967" s="181" t="s">
        <v>445</v>
      </c>
      <c r="H967" s="53" t="s">
        <v>42</v>
      </c>
      <c r="I967" s="282">
        <f>I972</f>
        <v>0</v>
      </c>
      <c r="J967" s="282">
        <f>J972</f>
        <v>0</v>
      </c>
      <c r="K967" s="282">
        <f>K972</f>
        <v>0</v>
      </c>
      <c r="L967" s="31"/>
      <c r="M967" s="31"/>
      <c r="N967" s="410"/>
      <c r="O967" s="196"/>
      <c r="Q967" s="268"/>
      <c r="R967" s="268"/>
      <c r="S967" s="194"/>
      <c r="T967" s="194"/>
    </row>
    <row r="968" spans="1:20" s="411" customFormat="1" ht="30" hidden="1" customHeight="1" x14ac:dyDescent="0.25">
      <c r="A968" s="174"/>
      <c r="B968" s="174"/>
      <c r="C968" s="174"/>
      <c r="D968" s="175"/>
      <c r="E968" s="171" t="s">
        <v>222</v>
      </c>
      <c r="F968" s="38"/>
      <c r="G968" s="181" t="s">
        <v>445</v>
      </c>
      <c r="H968" s="38" t="s">
        <v>223</v>
      </c>
      <c r="I968" s="282"/>
      <c r="J968" s="282"/>
      <c r="K968" s="282"/>
      <c r="L968" s="31"/>
      <c r="M968" s="31"/>
      <c r="N968" s="410"/>
      <c r="O968" s="196"/>
      <c r="Q968" s="268"/>
      <c r="R968" s="268"/>
      <c r="S968" s="194"/>
      <c r="T968" s="194"/>
    </row>
    <row r="969" spans="1:20" s="411" customFormat="1" ht="30" hidden="1" customHeight="1" x14ac:dyDescent="0.25">
      <c r="A969" s="174"/>
      <c r="B969" s="174"/>
      <c r="C969" s="174"/>
      <c r="D969" s="175"/>
      <c r="E969" s="171"/>
      <c r="F969" s="38" t="s">
        <v>224</v>
      </c>
      <c r="G969" s="181" t="s">
        <v>445</v>
      </c>
      <c r="H969" s="38" t="s">
        <v>223</v>
      </c>
      <c r="I969" s="282"/>
      <c r="J969" s="282"/>
      <c r="K969" s="282"/>
      <c r="L969" s="31"/>
      <c r="M969" s="31"/>
      <c r="N969" s="410"/>
      <c r="O969" s="196"/>
      <c r="Q969" s="268"/>
      <c r="R969" s="268"/>
      <c r="S969" s="194"/>
      <c r="T969" s="194"/>
    </row>
    <row r="970" spans="1:20" s="411" customFormat="1" ht="30" hidden="1" customHeight="1" x14ac:dyDescent="0.25">
      <c r="A970" s="174"/>
      <c r="B970" s="174"/>
      <c r="C970" s="174"/>
      <c r="D970" s="175"/>
      <c r="E970" s="171" t="s">
        <v>225</v>
      </c>
      <c r="F970" s="38"/>
      <c r="G970" s="181" t="s">
        <v>445</v>
      </c>
      <c r="H970" s="38" t="s">
        <v>226</v>
      </c>
      <c r="I970" s="282"/>
      <c r="J970" s="282"/>
      <c r="K970" s="282"/>
      <c r="L970" s="31"/>
      <c r="M970" s="31"/>
      <c r="N970" s="410"/>
      <c r="O970" s="196"/>
      <c r="Q970" s="268"/>
      <c r="R970" s="268"/>
      <c r="S970" s="194"/>
      <c r="T970" s="194"/>
    </row>
    <row r="971" spans="1:20" s="411" customFormat="1" ht="30" hidden="1" customHeight="1" x14ac:dyDescent="0.25">
      <c r="A971" s="174"/>
      <c r="B971" s="174"/>
      <c r="C971" s="174"/>
      <c r="D971" s="175"/>
      <c r="E971" s="171"/>
      <c r="F971" s="38" t="s">
        <v>227</v>
      </c>
      <c r="G971" s="181" t="s">
        <v>445</v>
      </c>
      <c r="H971" s="38" t="s">
        <v>226</v>
      </c>
      <c r="I971" s="282"/>
      <c r="J971" s="282"/>
      <c r="K971" s="282"/>
      <c r="L971" s="31"/>
      <c r="M971" s="31"/>
      <c r="N971" s="410"/>
      <c r="O971" s="196"/>
      <c r="Q971" s="268"/>
      <c r="R971" s="268"/>
      <c r="S971" s="194"/>
      <c r="T971" s="194"/>
    </row>
    <row r="972" spans="1:20" s="268" customFormat="1" ht="30" hidden="1" customHeight="1" x14ac:dyDescent="0.25">
      <c r="A972" s="174"/>
      <c r="B972" s="174"/>
      <c r="C972" s="174"/>
      <c r="D972" s="175"/>
      <c r="E972" s="171" t="s">
        <v>228</v>
      </c>
      <c r="F972" s="38"/>
      <c r="G972" s="181" t="s">
        <v>445</v>
      </c>
      <c r="H972" s="38" t="s">
        <v>229</v>
      </c>
      <c r="I972" s="282">
        <f>I973</f>
        <v>0</v>
      </c>
      <c r="J972" s="282">
        <f>J973</f>
        <v>0</v>
      </c>
      <c r="K972" s="282">
        <f>K973</f>
        <v>0</v>
      </c>
      <c r="L972" s="31"/>
      <c r="M972" s="31"/>
      <c r="N972" s="410"/>
      <c r="O972" s="196"/>
      <c r="P972" s="411"/>
      <c r="S972" s="194"/>
      <c r="T972" s="194"/>
    </row>
    <row r="973" spans="1:20" s="268" customFormat="1" ht="30" hidden="1" customHeight="1" x14ac:dyDescent="0.25">
      <c r="A973" s="174"/>
      <c r="B973" s="174"/>
      <c r="C973" s="174"/>
      <c r="D973" s="175"/>
      <c r="E973" s="171"/>
      <c r="F973" s="38" t="s">
        <v>230</v>
      </c>
      <c r="G973" s="181">
        <v>55</v>
      </c>
      <c r="H973" s="38" t="s">
        <v>229</v>
      </c>
      <c r="I973" s="282">
        <v>0</v>
      </c>
      <c r="J973" s="282">
        <f>K973-I973</f>
        <v>0</v>
      </c>
      <c r="K973" s="282">
        <v>0</v>
      </c>
      <c r="L973" s="31"/>
      <c r="M973" s="31"/>
      <c r="N973" s="410"/>
      <c r="O973" s="196"/>
      <c r="P973" s="411"/>
      <c r="S973" s="194"/>
      <c r="T973" s="194"/>
    </row>
    <row r="974" spans="1:20" s="268" customFormat="1" ht="30" hidden="1" customHeight="1" x14ac:dyDescent="0.25">
      <c r="A974" s="174"/>
      <c r="B974" s="174"/>
      <c r="C974" s="174"/>
      <c r="D974" s="175"/>
      <c r="E974" s="171" t="s">
        <v>231</v>
      </c>
      <c r="F974" s="38"/>
      <c r="G974" s="181">
        <v>63</v>
      </c>
      <c r="H974" s="38" t="s">
        <v>232</v>
      </c>
      <c r="I974" s="282"/>
      <c r="J974" s="282"/>
      <c r="K974" s="282"/>
      <c r="L974" s="31"/>
      <c r="M974" s="31"/>
      <c r="N974" s="410"/>
      <c r="O974" s="196"/>
      <c r="P974" s="411"/>
      <c r="S974" s="194"/>
      <c r="T974" s="194"/>
    </row>
    <row r="975" spans="1:20" s="268" customFormat="1" ht="30" hidden="1" customHeight="1" x14ac:dyDescent="0.25">
      <c r="A975" s="174"/>
      <c r="B975" s="174"/>
      <c r="C975" s="174"/>
      <c r="D975" s="175"/>
      <c r="E975" s="171"/>
      <c r="F975" s="38" t="s">
        <v>233</v>
      </c>
      <c r="G975" s="181">
        <v>63</v>
      </c>
      <c r="H975" s="38" t="s">
        <v>232</v>
      </c>
      <c r="I975" s="282"/>
      <c r="J975" s="282"/>
      <c r="K975" s="282"/>
      <c r="L975" s="31"/>
      <c r="M975" s="31"/>
      <c r="N975" s="410"/>
      <c r="O975" s="196"/>
      <c r="P975" s="411"/>
      <c r="S975" s="194"/>
      <c r="T975" s="194"/>
    </row>
    <row r="976" spans="1:20" s="268" customFormat="1" ht="30" hidden="1" customHeight="1" x14ac:dyDescent="0.25">
      <c r="A976" s="174"/>
      <c r="B976" s="172">
        <v>34</v>
      </c>
      <c r="C976" s="174"/>
      <c r="D976" s="175"/>
      <c r="E976" s="171"/>
      <c r="F976" s="38"/>
      <c r="G976" s="181"/>
      <c r="H976" s="43" t="s">
        <v>51</v>
      </c>
      <c r="I976" s="281">
        <f t="shared" ref="I976:K979" si="177">I977</f>
        <v>0</v>
      </c>
      <c r="J976" s="281">
        <f t="shared" si="177"/>
        <v>0</v>
      </c>
      <c r="K976" s="281">
        <f t="shared" si="177"/>
        <v>0</v>
      </c>
      <c r="L976" s="31"/>
      <c r="M976" s="31"/>
      <c r="N976" s="410"/>
      <c r="O976" s="196"/>
      <c r="P976" s="411"/>
      <c r="S976" s="194"/>
      <c r="T976" s="194"/>
    </row>
    <row r="977" spans="1:20" s="55" customFormat="1" ht="30" hidden="1" customHeight="1" x14ac:dyDescent="0.25">
      <c r="A977" s="174"/>
      <c r="B977" s="172"/>
      <c r="C977" s="172">
        <v>343</v>
      </c>
      <c r="D977" s="175"/>
      <c r="E977" s="171"/>
      <c r="F977" s="38"/>
      <c r="G977" s="181"/>
      <c r="H977" s="43" t="s">
        <v>52</v>
      </c>
      <c r="I977" s="281">
        <f t="shared" si="177"/>
        <v>0</v>
      </c>
      <c r="J977" s="281">
        <f t="shared" si="177"/>
        <v>0</v>
      </c>
      <c r="K977" s="281">
        <f t="shared" si="177"/>
        <v>0</v>
      </c>
      <c r="L977" s="54"/>
      <c r="M977" s="54"/>
      <c r="N977" s="410"/>
      <c r="O977" s="196"/>
      <c r="P977" s="277"/>
    </row>
    <row r="978" spans="1:20" s="55" customFormat="1" ht="30" hidden="1" customHeight="1" x14ac:dyDescent="0.25">
      <c r="A978" s="174"/>
      <c r="B978" s="174"/>
      <c r="C978" s="174"/>
      <c r="D978" s="175">
        <v>3431</v>
      </c>
      <c r="E978" s="171"/>
      <c r="F978" s="38"/>
      <c r="G978" s="181" t="s">
        <v>445</v>
      </c>
      <c r="H978" s="38" t="s">
        <v>53</v>
      </c>
      <c r="I978" s="282">
        <f t="shared" si="177"/>
        <v>0</v>
      </c>
      <c r="J978" s="282">
        <f t="shared" si="177"/>
        <v>0</v>
      </c>
      <c r="K978" s="282">
        <f t="shared" si="177"/>
        <v>0</v>
      </c>
      <c r="L978" s="54"/>
      <c r="M978" s="54"/>
      <c r="N978" s="410"/>
      <c r="O978" s="196"/>
      <c r="P978" s="277"/>
    </row>
    <row r="979" spans="1:20" s="55" customFormat="1" ht="30" hidden="1" customHeight="1" x14ac:dyDescent="0.25">
      <c r="A979" s="174"/>
      <c r="B979" s="174"/>
      <c r="C979" s="174"/>
      <c r="D979" s="174"/>
      <c r="E979" s="171" t="s">
        <v>276</v>
      </c>
      <c r="F979" s="38"/>
      <c r="G979" s="181" t="s">
        <v>445</v>
      </c>
      <c r="H979" s="38" t="s">
        <v>277</v>
      </c>
      <c r="I979" s="282">
        <f t="shared" si="177"/>
        <v>0</v>
      </c>
      <c r="J979" s="282">
        <f t="shared" si="177"/>
        <v>0</v>
      </c>
      <c r="K979" s="282">
        <f t="shared" si="177"/>
        <v>0</v>
      </c>
      <c r="L979" s="54"/>
      <c r="M979" s="54"/>
      <c r="N979" s="410"/>
      <c r="O979" s="196"/>
      <c r="P979" s="277"/>
    </row>
    <row r="980" spans="1:20" s="55" customFormat="1" ht="30" hidden="1" customHeight="1" x14ac:dyDescent="0.25">
      <c r="A980" s="174"/>
      <c r="B980" s="174"/>
      <c r="C980" s="174"/>
      <c r="D980" s="174"/>
      <c r="E980" s="171"/>
      <c r="F980" s="38" t="s">
        <v>278</v>
      </c>
      <c r="G980" s="181" t="s">
        <v>445</v>
      </c>
      <c r="H980" s="38" t="s">
        <v>277</v>
      </c>
      <c r="I980" s="282">
        <f>500-500</f>
        <v>0</v>
      </c>
      <c r="J980" s="282">
        <f>K980-I980</f>
        <v>0</v>
      </c>
      <c r="K980" s="282">
        <f>500-500</f>
        <v>0</v>
      </c>
      <c r="L980" s="54"/>
      <c r="M980" s="54"/>
      <c r="N980" s="410"/>
      <c r="O980" s="196"/>
      <c r="P980" s="277"/>
    </row>
    <row r="981" spans="1:20" s="268" customFormat="1" ht="30" hidden="1" customHeight="1" x14ac:dyDescent="0.25">
      <c r="A981" s="172"/>
      <c r="B981" s="172">
        <v>38</v>
      </c>
      <c r="C981" s="172"/>
      <c r="D981" s="223"/>
      <c r="E981" s="223"/>
      <c r="F981" s="224"/>
      <c r="G981" s="222"/>
      <c r="H981" s="225" t="s">
        <v>57</v>
      </c>
      <c r="I981" s="281">
        <f t="shared" ref="I981:K984" si="178">I982</f>
        <v>0</v>
      </c>
      <c r="J981" s="281">
        <f t="shared" si="178"/>
        <v>0</v>
      </c>
      <c r="K981" s="281">
        <f t="shared" si="178"/>
        <v>0</v>
      </c>
      <c r="L981" s="31"/>
      <c r="M981" s="31"/>
      <c r="N981" s="410"/>
      <c r="O981" s="196"/>
      <c r="P981" s="411"/>
      <c r="S981" s="194"/>
      <c r="T981" s="194"/>
    </row>
    <row r="982" spans="1:20" s="268" customFormat="1" ht="30" hidden="1" customHeight="1" x14ac:dyDescent="0.25">
      <c r="A982" s="172"/>
      <c r="B982" s="172"/>
      <c r="C982" s="172">
        <v>381</v>
      </c>
      <c r="D982" s="223"/>
      <c r="E982" s="223"/>
      <c r="F982" s="224"/>
      <c r="G982" s="222"/>
      <c r="H982" s="225" t="s">
        <v>355</v>
      </c>
      <c r="I982" s="281">
        <f t="shared" si="178"/>
        <v>0</v>
      </c>
      <c r="J982" s="281">
        <f t="shared" si="178"/>
        <v>0</v>
      </c>
      <c r="K982" s="281">
        <f t="shared" si="178"/>
        <v>0</v>
      </c>
      <c r="L982" s="31"/>
      <c r="M982" s="31"/>
      <c r="N982" s="410"/>
      <c r="O982" s="196"/>
      <c r="P982" s="411"/>
      <c r="S982" s="194"/>
      <c r="T982" s="194"/>
    </row>
    <row r="983" spans="1:20" s="268" customFormat="1" ht="30" hidden="1" customHeight="1" x14ac:dyDescent="0.25">
      <c r="A983" s="174"/>
      <c r="B983" s="174"/>
      <c r="C983" s="174"/>
      <c r="D983" s="175">
        <v>3811</v>
      </c>
      <c r="E983" s="175"/>
      <c r="F983" s="56"/>
      <c r="G983" s="181" t="s">
        <v>445</v>
      </c>
      <c r="H983" s="53" t="s">
        <v>59</v>
      </c>
      <c r="I983" s="282">
        <f t="shared" si="178"/>
        <v>0</v>
      </c>
      <c r="J983" s="282">
        <f t="shared" si="178"/>
        <v>0</v>
      </c>
      <c r="K983" s="282">
        <f t="shared" si="178"/>
        <v>0</v>
      </c>
      <c r="L983" s="31"/>
      <c r="M983" s="31"/>
      <c r="N983" s="410"/>
      <c r="O983" s="196"/>
      <c r="P983" s="411"/>
      <c r="S983" s="194"/>
      <c r="T983" s="194"/>
    </row>
    <row r="984" spans="1:20" s="268" customFormat="1" ht="30" hidden="1" customHeight="1" x14ac:dyDescent="0.25">
      <c r="A984" s="174"/>
      <c r="B984" s="174"/>
      <c r="C984" s="174"/>
      <c r="D984" s="175"/>
      <c r="E984" s="171" t="s">
        <v>356</v>
      </c>
      <c r="F984" s="38"/>
      <c r="G984" s="181" t="s">
        <v>445</v>
      </c>
      <c r="H984" s="38" t="s">
        <v>357</v>
      </c>
      <c r="I984" s="282">
        <f t="shared" si="178"/>
        <v>0</v>
      </c>
      <c r="J984" s="282">
        <f t="shared" si="178"/>
        <v>0</v>
      </c>
      <c r="K984" s="282">
        <f t="shared" si="178"/>
        <v>0</v>
      </c>
      <c r="L984" s="31"/>
      <c r="M984" s="31"/>
      <c r="N984" s="410"/>
      <c r="O984" s="196"/>
      <c r="P984" s="411"/>
      <c r="S984" s="194"/>
      <c r="T984" s="194"/>
    </row>
    <row r="985" spans="1:20" s="268" customFormat="1" ht="30" hidden="1" customHeight="1" x14ac:dyDescent="0.25">
      <c r="A985" s="174"/>
      <c r="B985" s="174"/>
      <c r="C985" s="174"/>
      <c r="D985" s="175"/>
      <c r="E985" s="171"/>
      <c r="F985" s="38" t="s">
        <v>358</v>
      </c>
      <c r="G985" s="181" t="s">
        <v>445</v>
      </c>
      <c r="H985" s="38" t="s">
        <v>357</v>
      </c>
      <c r="I985" s="282">
        <v>0</v>
      </c>
      <c r="J985" s="282">
        <f>K985-I985</f>
        <v>0</v>
      </c>
      <c r="K985" s="282">
        <v>0</v>
      </c>
      <c r="L985" s="31"/>
      <c r="M985" s="31"/>
      <c r="N985" s="410"/>
      <c r="O985" s="196"/>
      <c r="P985" s="411"/>
      <c r="S985" s="194"/>
      <c r="T985" s="194"/>
    </row>
    <row r="986" spans="1:20" s="268" customFormat="1" ht="30" customHeight="1" x14ac:dyDescent="0.25">
      <c r="A986" s="243"/>
      <c r="B986" s="243"/>
      <c r="C986" s="243"/>
      <c r="D986" s="243"/>
      <c r="E986" s="243"/>
      <c r="F986" s="242"/>
      <c r="G986" s="245"/>
      <c r="H986" s="246" t="s">
        <v>538</v>
      </c>
      <c r="I986" s="280"/>
      <c r="J986" s="280"/>
      <c r="K986" s="280"/>
      <c r="L986" s="22"/>
      <c r="M986" s="22"/>
      <c r="N986" s="410"/>
      <c r="O986" s="196"/>
      <c r="P986" s="411"/>
      <c r="S986" s="194"/>
      <c r="T986" s="194"/>
    </row>
    <row r="987" spans="1:20" s="268" customFormat="1" ht="20.100000000000001" customHeight="1" x14ac:dyDescent="0.25">
      <c r="A987" s="345"/>
      <c r="B987" s="345"/>
      <c r="C987" s="345"/>
      <c r="D987" s="345"/>
      <c r="E987" s="345"/>
      <c r="F987" s="313"/>
      <c r="G987" s="346"/>
      <c r="H987" s="354" t="s">
        <v>425</v>
      </c>
      <c r="I987" s="316"/>
      <c r="J987" s="316"/>
      <c r="K987" s="316"/>
      <c r="L987" s="47"/>
      <c r="M987" s="47"/>
      <c r="N987" s="410"/>
      <c r="O987" s="196"/>
      <c r="P987" s="411"/>
      <c r="S987" s="194"/>
      <c r="T987" s="194"/>
    </row>
    <row r="988" spans="1:20" s="21" customFormat="1" ht="35.25" customHeight="1" x14ac:dyDescent="0.25">
      <c r="A988" s="172">
        <v>4</v>
      </c>
      <c r="B988" s="172"/>
      <c r="C988" s="172"/>
      <c r="D988" s="172"/>
      <c r="E988" s="172"/>
      <c r="F988" s="42"/>
      <c r="G988" s="211"/>
      <c r="H988" s="43" t="s">
        <v>324</v>
      </c>
      <c r="I988" s="281">
        <f>I989+I994</f>
        <v>400</v>
      </c>
      <c r="J988" s="281">
        <f>J989+J994</f>
        <v>0</v>
      </c>
      <c r="K988" s="281">
        <f>K989+K994</f>
        <v>400</v>
      </c>
      <c r="L988" s="31">
        <f>L989+L994</f>
        <v>0</v>
      </c>
      <c r="M988" s="31">
        <f>M989+M994</f>
        <v>0</v>
      </c>
      <c r="N988" s="410"/>
      <c r="O988" s="196"/>
      <c r="P988" s="270"/>
      <c r="Q988" s="20"/>
      <c r="R988" s="20"/>
    </row>
    <row r="989" spans="1:20" s="21" customFormat="1" ht="31.5" hidden="1" customHeight="1" x14ac:dyDescent="0.25">
      <c r="A989" s="172"/>
      <c r="B989" s="172">
        <v>41</v>
      </c>
      <c r="C989" s="172"/>
      <c r="D989" s="172"/>
      <c r="E989" s="172"/>
      <c r="F989" s="42"/>
      <c r="G989" s="211"/>
      <c r="H989" s="43" t="s">
        <v>60</v>
      </c>
      <c r="I989" s="281">
        <f t="shared" ref="I989:M992" si="179">I990</f>
        <v>0</v>
      </c>
      <c r="J989" s="281">
        <f t="shared" si="179"/>
        <v>0</v>
      </c>
      <c r="K989" s="281">
        <f t="shared" si="179"/>
        <v>0</v>
      </c>
      <c r="L989" s="31">
        <f t="shared" si="179"/>
        <v>0</v>
      </c>
      <c r="M989" s="31">
        <f t="shared" si="179"/>
        <v>0</v>
      </c>
      <c r="N989" s="410"/>
      <c r="O989" s="196"/>
      <c r="P989" s="270"/>
      <c r="Q989" s="20"/>
      <c r="R989" s="20"/>
    </row>
    <row r="990" spans="1:20" s="150" customFormat="1" ht="24" hidden="1" customHeight="1" x14ac:dyDescent="0.25">
      <c r="A990" s="176"/>
      <c r="B990" s="176"/>
      <c r="C990" s="172">
        <v>412</v>
      </c>
      <c r="D990" s="172"/>
      <c r="E990" s="172"/>
      <c r="F990" s="42"/>
      <c r="G990" s="211"/>
      <c r="H990" s="43" t="s">
        <v>325</v>
      </c>
      <c r="I990" s="281">
        <f t="shared" si="179"/>
        <v>0</v>
      </c>
      <c r="J990" s="281">
        <f t="shared" si="179"/>
        <v>0</v>
      </c>
      <c r="K990" s="281">
        <f t="shared" si="179"/>
        <v>0</v>
      </c>
      <c r="L990" s="151">
        <f t="shared" si="179"/>
        <v>0</v>
      </c>
      <c r="M990" s="151">
        <f t="shared" si="179"/>
        <v>0</v>
      </c>
      <c r="N990" s="410"/>
      <c r="O990" s="196"/>
      <c r="P990" s="270"/>
      <c r="Q990" s="149"/>
      <c r="R990" s="149"/>
    </row>
    <row r="991" spans="1:20" ht="15" hidden="1" customHeight="1" x14ac:dyDescent="0.25">
      <c r="A991" s="174"/>
      <c r="B991" s="174"/>
      <c r="C991" s="174"/>
      <c r="D991" s="174">
        <v>4123</v>
      </c>
      <c r="E991" s="174"/>
      <c r="F991" s="44"/>
      <c r="G991" s="211">
        <v>55</v>
      </c>
      <c r="H991" s="38" t="s">
        <v>62</v>
      </c>
      <c r="I991" s="282">
        <f t="shared" si="179"/>
        <v>0</v>
      </c>
      <c r="J991" s="282">
        <f t="shared" si="179"/>
        <v>0</v>
      </c>
      <c r="K991" s="282">
        <f t="shared" si="179"/>
        <v>0</v>
      </c>
      <c r="L991" s="34">
        <v>0</v>
      </c>
      <c r="M991" s="34">
        <v>0</v>
      </c>
      <c r="N991" s="410"/>
      <c r="O991" s="196"/>
    </row>
    <row r="992" spans="1:20" ht="20.100000000000001" hidden="1" customHeight="1" x14ac:dyDescent="0.25">
      <c r="A992" s="174"/>
      <c r="B992" s="174"/>
      <c r="C992" s="174"/>
      <c r="D992" s="174"/>
      <c r="E992" s="171" t="s">
        <v>326</v>
      </c>
      <c r="F992" s="38"/>
      <c r="G992" s="211">
        <v>55</v>
      </c>
      <c r="H992" s="38" t="s">
        <v>62</v>
      </c>
      <c r="I992" s="282">
        <f t="shared" si="179"/>
        <v>0</v>
      </c>
      <c r="J992" s="282">
        <f t="shared" si="179"/>
        <v>0</v>
      </c>
      <c r="K992" s="282">
        <f t="shared" si="179"/>
        <v>0</v>
      </c>
      <c r="L992" s="31">
        <v>2100</v>
      </c>
      <c r="M992" s="31">
        <v>2100</v>
      </c>
      <c r="N992" s="410"/>
      <c r="O992" s="196"/>
    </row>
    <row r="993" spans="1:18" ht="20.100000000000001" hidden="1" customHeight="1" x14ac:dyDescent="0.25">
      <c r="A993" s="174"/>
      <c r="B993" s="174"/>
      <c r="C993" s="174"/>
      <c r="D993" s="174"/>
      <c r="E993" s="171"/>
      <c r="F993" s="38" t="s">
        <v>327</v>
      </c>
      <c r="G993" s="211">
        <v>55</v>
      </c>
      <c r="H993" s="38" t="s">
        <v>62</v>
      </c>
      <c r="I993" s="282">
        <v>0</v>
      </c>
      <c r="J993" s="282">
        <f>K993-I993</f>
        <v>0</v>
      </c>
      <c r="K993" s="282">
        <v>0</v>
      </c>
      <c r="L993" s="31">
        <v>2100</v>
      </c>
      <c r="M993" s="31">
        <v>2100</v>
      </c>
      <c r="N993" s="410"/>
      <c r="O993" s="196"/>
    </row>
    <row r="994" spans="1:18" ht="30" customHeight="1" x14ac:dyDescent="0.25">
      <c r="A994" s="213"/>
      <c r="B994" s="172">
        <v>42</v>
      </c>
      <c r="C994" s="213"/>
      <c r="D994" s="213"/>
      <c r="E994" s="213"/>
      <c r="F994" s="214"/>
      <c r="G994" s="181" t="s">
        <v>448</v>
      </c>
      <c r="H994" s="43" t="s">
        <v>63</v>
      </c>
      <c r="I994" s="281">
        <f t="shared" ref="I994:M997" si="180">I995</f>
        <v>400</v>
      </c>
      <c r="J994" s="281">
        <f t="shared" si="180"/>
        <v>0</v>
      </c>
      <c r="K994" s="281">
        <f t="shared" si="180"/>
        <v>400</v>
      </c>
      <c r="L994" s="31">
        <f t="shared" si="180"/>
        <v>0</v>
      </c>
      <c r="M994" s="31">
        <f t="shared" si="180"/>
        <v>0</v>
      </c>
      <c r="N994" s="410"/>
      <c r="O994" s="196"/>
    </row>
    <row r="995" spans="1:18" s="150" customFormat="1" ht="20.100000000000001" hidden="1" customHeight="1" x14ac:dyDescent="0.25">
      <c r="A995" s="176"/>
      <c r="B995" s="176"/>
      <c r="C995" s="172">
        <v>422</v>
      </c>
      <c r="D995" s="172"/>
      <c r="E995" s="172"/>
      <c r="F995" s="42"/>
      <c r="G995" s="181" t="s">
        <v>448</v>
      </c>
      <c r="H995" s="43" t="s">
        <v>64</v>
      </c>
      <c r="I995" s="281">
        <f t="shared" ref="I995:K995" si="181">I997+I999</f>
        <v>400</v>
      </c>
      <c r="J995" s="281">
        <f t="shared" si="181"/>
        <v>0</v>
      </c>
      <c r="K995" s="281">
        <f t="shared" si="181"/>
        <v>400</v>
      </c>
      <c r="L995" s="148">
        <v>0</v>
      </c>
      <c r="M995" s="148">
        <v>0</v>
      </c>
      <c r="N995" s="410"/>
      <c r="O995" s="196"/>
      <c r="P995" s="270"/>
      <c r="Q995" s="149"/>
      <c r="R995" s="149"/>
    </row>
    <row r="996" spans="1:18" ht="15.75" hidden="1" customHeight="1" x14ac:dyDescent="0.25">
      <c r="A996" s="174"/>
      <c r="B996" s="174"/>
      <c r="C996" s="174"/>
      <c r="D996" s="174">
        <v>4221</v>
      </c>
      <c r="E996" s="174"/>
      <c r="F996" s="44"/>
      <c r="G996" s="181" t="s">
        <v>448</v>
      </c>
      <c r="H996" s="38" t="s">
        <v>65</v>
      </c>
      <c r="I996" s="282">
        <f t="shared" ref="I996:K996" si="182">I997+I999</f>
        <v>400</v>
      </c>
      <c r="J996" s="282">
        <f t="shared" si="182"/>
        <v>0</v>
      </c>
      <c r="K996" s="282">
        <f t="shared" si="182"/>
        <v>400</v>
      </c>
      <c r="L996" s="34">
        <v>0</v>
      </c>
      <c r="M996" s="34">
        <v>0</v>
      </c>
      <c r="N996" s="410"/>
      <c r="O996" s="196"/>
    </row>
    <row r="997" spans="1:18" ht="20.100000000000001" hidden="1" customHeight="1" x14ac:dyDescent="0.25">
      <c r="A997" s="174"/>
      <c r="B997" s="174"/>
      <c r="C997" s="174"/>
      <c r="D997" s="174"/>
      <c r="E997" s="171" t="s">
        <v>328</v>
      </c>
      <c r="F997" s="38"/>
      <c r="G997" s="181" t="s">
        <v>448</v>
      </c>
      <c r="H997" s="38" t="s">
        <v>329</v>
      </c>
      <c r="I997" s="282">
        <f t="shared" si="180"/>
        <v>400</v>
      </c>
      <c r="J997" s="282">
        <f t="shared" si="180"/>
        <v>0</v>
      </c>
      <c r="K997" s="282">
        <f t="shared" si="180"/>
        <v>400</v>
      </c>
      <c r="L997" s="34">
        <f t="shared" si="180"/>
        <v>1600</v>
      </c>
      <c r="M997" s="34">
        <f t="shared" si="180"/>
        <v>1600</v>
      </c>
      <c r="N997" s="410"/>
      <c r="O997" s="196"/>
    </row>
    <row r="998" spans="1:18" ht="20.100000000000001" hidden="1" customHeight="1" x14ac:dyDescent="0.25">
      <c r="A998" s="174"/>
      <c r="B998" s="174"/>
      <c r="C998" s="174"/>
      <c r="D998" s="174"/>
      <c r="E998" s="171"/>
      <c r="F998" s="38" t="s">
        <v>330</v>
      </c>
      <c r="G998" s="181" t="s">
        <v>448</v>
      </c>
      <c r="H998" s="38" t="s">
        <v>329</v>
      </c>
      <c r="I998" s="282">
        <v>400</v>
      </c>
      <c r="J998" s="282">
        <f>K998-I998</f>
        <v>0</v>
      </c>
      <c r="K998" s="282">
        <v>400</v>
      </c>
      <c r="L998" s="34">
        <v>1600</v>
      </c>
      <c r="M998" s="34">
        <v>1600</v>
      </c>
      <c r="N998" s="410"/>
      <c r="O998" s="196"/>
    </row>
    <row r="999" spans="1:18" ht="20.100000000000001" hidden="1" customHeight="1" x14ac:dyDescent="0.25">
      <c r="A999" s="174"/>
      <c r="B999" s="174"/>
      <c r="C999" s="174"/>
      <c r="D999" s="174"/>
      <c r="E999" s="171" t="s">
        <v>331</v>
      </c>
      <c r="F999" s="38"/>
      <c r="G999" s="181" t="s">
        <v>448</v>
      </c>
      <c r="H999" s="38" t="s">
        <v>332</v>
      </c>
      <c r="I999" s="282">
        <f t="shared" ref="I999:K999" si="183">I1000</f>
        <v>0</v>
      </c>
      <c r="J999" s="282">
        <f t="shared" si="183"/>
        <v>0</v>
      </c>
      <c r="K999" s="282">
        <f t="shared" si="183"/>
        <v>0</v>
      </c>
      <c r="L999" s="31"/>
      <c r="M999" s="31"/>
      <c r="N999" s="410"/>
      <c r="O999" s="196"/>
    </row>
    <row r="1000" spans="1:18" ht="20.100000000000001" hidden="1" customHeight="1" x14ac:dyDescent="0.25">
      <c r="A1000" s="174"/>
      <c r="B1000" s="174"/>
      <c r="C1000" s="174"/>
      <c r="D1000" s="174"/>
      <c r="E1000" s="171"/>
      <c r="F1000" s="38" t="s">
        <v>333</v>
      </c>
      <c r="G1000" s="181" t="s">
        <v>448</v>
      </c>
      <c r="H1000" s="38" t="s">
        <v>332</v>
      </c>
      <c r="I1000" s="282">
        <v>0</v>
      </c>
      <c r="J1000" s="282">
        <v>0</v>
      </c>
      <c r="K1000" s="282">
        <v>0</v>
      </c>
      <c r="L1000" s="31"/>
      <c r="M1000" s="31"/>
      <c r="N1000" s="410"/>
      <c r="O1000" s="196"/>
    </row>
    <row r="1001" spans="1:18" ht="28.5" hidden="1" customHeight="1" x14ac:dyDescent="0.25">
      <c r="A1001" s="172"/>
      <c r="B1001" s="172"/>
      <c r="C1001" s="172"/>
      <c r="D1001" s="172"/>
      <c r="E1001" s="172"/>
      <c r="F1001" s="42"/>
      <c r="G1001" s="211"/>
      <c r="H1001" s="216" t="s">
        <v>442</v>
      </c>
      <c r="I1001" s="282"/>
      <c r="J1001" s="282"/>
      <c r="K1001" s="282"/>
      <c r="L1001" s="31"/>
      <c r="M1001" s="31"/>
      <c r="N1001" s="410"/>
      <c r="O1001" s="196"/>
    </row>
    <row r="1002" spans="1:18" ht="31.5" hidden="1" customHeight="1" x14ac:dyDescent="0.25">
      <c r="A1002" s="172"/>
      <c r="B1002" s="172"/>
      <c r="C1002" s="172"/>
      <c r="D1002" s="172"/>
      <c r="E1002" s="172"/>
      <c r="F1002" s="42"/>
      <c r="G1002" s="221"/>
      <c r="H1002" s="216" t="s">
        <v>438</v>
      </c>
      <c r="I1002" s="282"/>
      <c r="J1002" s="282"/>
      <c r="K1002" s="282"/>
      <c r="L1002" s="31"/>
      <c r="M1002" s="31"/>
      <c r="N1002" s="410"/>
      <c r="O1002" s="196"/>
    </row>
    <row r="1003" spans="1:18" ht="35.25" hidden="1" customHeight="1" x14ac:dyDescent="0.25">
      <c r="A1003" s="172">
        <v>4</v>
      </c>
      <c r="B1003" s="172"/>
      <c r="C1003" s="172"/>
      <c r="D1003" s="172"/>
      <c r="E1003" s="172"/>
      <c r="F1003" s="42"/>
      <c r="G1003" s="211"/>
      <c r="H1003" s="43" t="s">
        <v>324</v>
      </c>
      <c r="I1003" s="281">
        <f>I1004+I1009</f>
        <v>0</v>
      </c>
      <c r="J1003" s="281">
        <f>J1004+J1009</f>
        <v>0</v>
      </c>
      <c r="K1003" s="281">
        <f>K1004+K1009</f>
        <v>0</v>
      </c>
      <c r="L1003" s="31"/>
      <c r="M1003" s="31"/>
      <c r="N1003" s="410"/>
      <c r="O1003" s="196"/>
    </row>
    <row r="1004" spans="1:18" ht="28.5" hidden="1" customHeight="1" x14ac:dyDescent="0.25">
      <c r="A1004" s="172"/>
      <c r="B1004" s="172">
        <v>41</v>
      </c>
      <c r="C1004" s="172"/>
      <c r="D1004" s="172"/>
      <c r="E1004" s="172"/>
      <c r="F1004" s="42"/>
      <c r="G1004" s="211"/>
      <c r="H1004" s="43" t="s">
        <v>60</v>
      </c>
      <c r="I1004" s="281">
        <f t="shared" ref="I1004:K1007" si="184">I1005</f>
        <v>0</v>
      </c>
      <c r="J1004" s="281">
        <f t="shared" si="184"/>
        <v>0</v>
      </c>
      <c r="K1004" s="281">
        <f t="shared" si="184"/>
        <v>0</v>
      </c>
      <c r="L1004" s="31"/>
      <c r="M1004" s="31"/>
      <c r="N1004" s="410"/>
      <c r="O1004" s="196"/>
    </row>
    <row r="1005" spans="1:18" s="154" customFormat="1" ht="20.100000000000001" hidden="1" customHeight="1" x14ac:dyDescent="0.25">
      <c r="A1005" s="176"/>
      <c r="B1005" s="176"/>
      <c r="C1005" s="172">
        <v>412</v>
      </c>
      <c r="D1005" s="172"/>
      <c r="E1005" s="172"/>
      <c r="F1005" s="42"/>
      <c r="G1005" s="211"/>
      <c r="H1005" s="43" t="s">
        <v>325</v>
      </c>
      <c r="I1005" s="281">
        <f t="shared" si="184"/>
        <v>0</v>
      </c>
      <c r="J1005" s="281">
        <f t="shared" si="184"/>
        <v>0</v>
      </c>
      <c r="K1005" s="281">
        <f t="shared" si="184"/>
        <v>0</v>
      </c>
      <c r="L1005" s="148"/>
      <c r="M1005" s="148"/>
      <c r="N1005" s="410"/>
      <c r="O1005" s="196"/>
      <c r="P1005" s="411"/>
      <c r="Q1005" s="153"/>
      <c r="R1005" s="153"/>
    </row>
    <row r="1006" spans="1:18" ht="20.100000000000001" hidden="1" customHeight="1" x14ac:dyDescent="0.25">
      <c r="A1006" s="174"/>
      <c r="B1006" s="174"/>
      <c r="C1006" s="174"/>
      <c r="D1006" s="174">
        <v>4123</v>
      </c>
      <c r="E1006" s="174"/>
      <c r="F1006" s="44"/>
      <c r="G1006" s="181" t="s">
        <v>445</v>
      </c>
      <c r="H1006" s="38" t="s">
        <v>62</v>
      </c>
      <c r="I1006" s="282">
        <f t="shared" si="184"/>
        <v>0</v>
      </c>
      <c r="J1006" s="282">
        <f t="shared" si="184"/>
        <v>0</v>
      </c>
      <c r="K1006" s="282">
        <f t="shared" si="184"/>
        <v>0</v>
      </c>
      <c r="L1006" s="31"/>
      <c r="M1006" s="31"/>
      <c r="N1006" s="410"/>
      <c r="O1006" s="196"/>
    </row>
    <row r="1007" spans="1:18" ht="20.100000000000001" hidden="1" customHeight="1" x14ac:dyDescent="0.25">
      <c r="A1007" s="174"/>
      <c r="B1007" s="174"/>
      <c r="C1007" s="174"/>
      <c r="D1007" s="174"/>
      <c r="E1007" s="171" t="s">
        <v>326</v>
      </c>
      <c r="F1007" s="38"/>
      <c r="G1007" s="181" t="s">
        <v>445</v>
      </c>
      <c r="H1007" s="38" t="s">
        <v>62</v>
      </c>
      <c r="I1007" s="282">
        <f t="shared" si="184"/>
        <v>0</v>
      </c>
      <c r="J1007" s="282">
        <f t="shared" si="184"/>
        <v>0</v>
      </c>
      <c r="K1007" s="282">
        <f t="shared" si="184"/>
        <v>0</v>
      </c>
      <c r="L1007" s="31"/>
      <c r="M1007" s="31"/>
      <c r="N1007" s="410"/>
      <c r="O1007" s="196"/>
    </row>
    <row r="1008" spans="1:18" ht="20.100000000000001" hidden="1" customHeight="1" x14ac:dyDescent="0.25">
      <c r="A1008" s="174"/>
      <c r="B1008" s="174"/>
      <c r="C1008" s="174"/>
      <c r="D1008" s="174"/>
      <c r="E1008" s="171"/>
      <c r="F1008" s="38" t="s">
        <v>327</v>
      </c>
      <c r="G1008" s="181" t="s">
        <v>445</v>
      </c>
      <c r="H1008" s="38" t="s">
        <v>62</v>
      </c>
      <c r="I1008" s="282">
        <v>0</v>
      </c>
      <c r="J1008" s="282">
        <f>K1008-I1008</f>
        <v>0</v>
      </c>
      <c r="K1008" s="282">
        <v>0</v>
      </c>
      <c r="L1008" s="31"/>
      <c r="M1008" s="31"/>
      <c r="N1008" s="410"/>
      <c r="O1008" s="196"/>
    </row>
    <row r="1009" spans="1:18" ht="28.5" hidden="1" customHeight="1" x14ac:dyDescent="0.25">
      <c r="A1009" s="213"/>
      <c r="B1009" s="172">
        <v>42</v>
      </c>
      <c r="C1009" s="213"/>
      <c r="D1009" s="213"/>
      <c r="E1009" s="213"/>
      <c r="F1009" s="214"/>
      <c r="G1009" s="181"/>
      <c r="H1009" s="43" t="s">
        <v>63</v>
      </c>
      <c r="I1009" s="281">
        <f t="shared" ref="I1009:K1012" si="185">I1010</f>
        <v>0</v>
      </c>
      <c r="J1009" s="281">
        <f t="shared" si="185"/>
        <v>0</v>
      </c>
      <c r="K1009" s="281">
        <f t="shared" si="185"/>
        <v>0</v>
      </c>
      <c r="L1009" s="31"/>
      <c r="M1009" s="31"/>
      <c r="N1009" s="410"/>
      <c r="O1009" s="196"/>
    </row>
    <row r="1010" spans="1:18" s="154" customFormat="1" ht="20.100000000000001" hidden="1" customHeight="1" x14ac:dyDescent="0.25">
      <c r="A1010" s="176"/>
      <c r="B1010" s="176"/>
      <c r="C1010" s="172">
        <v>422</v>
      </c>
      <c r="D1010" s="172"/>
      <c r="E1010" s="172"/>
      <c r="F1010" s="42"/>
      <c r="G1010" s="181"/>
      <c r="H1010" s="43" t="s">
        <v>64</v>
      </c>
      <c r="I1010" s="281">
        <f t="shared" si="185"/>
        <v>0</v>
      </c>
      <c r="J1010" s="281">
        <f t="shared" si="185"/>
        <v>0</v>
      </c>
      <c r="K1010" s="281">
        <f t="shared" si="185"/>
        <v>0</v>
      </c>
      <c r="L1010" s="148"/>
      <c r="M1010" s="148"/>
      <c r="N1010" s="410"/>
      <c r="O1010" s="196"/>
      <c r="P1010" s="411"/>
      <c r="Q1010" s="153"/>
      <c r="R1010" s="153"/>
    </row>
    <row r="1011" spans="1:18" ht="20.100000000000001" hidden="1" customHeight="1" x14ac:dyDescent="0.25">
      <c r="A1011" s="174"/>
      <c r="B1011" s="174"/>
      <c r="C1011" s="174"/>
      <c r="D1011" s="174">
        <v>4221</v>
      </c>
      <c r="E1011" s="174"/>
      <c r="F1011" s="44"/>
      <c r="G1011" s="181" t="s">
        <v>445</v>
      </c>
      <c r="H1011" s="38" t="s">
        <v>65</v>
      </c>
      <c r="I1011" s="282">
        <f t="shared" si="185"/>
        <v>0</v>
      </c>
      <c r="J1011" s="282">
        <f t="shared" si="185"/>
        <v>0</v>
      </c>
      <c r="K1011" s="282">
        <f t="shared" si="185"/>
        <v>0</v>
      </c>
      <c r="L1011" s="31"/>
      <c r="M1011" s="31"/>
      <c r="N1011" s="410"/>
      <c r="O1011" s="196"/>
    </row>
    <row r="1012" spans="1:18" ht="20.100000000000001" hidden="1" customHeight="1" x14ac:dyDescent="0.25">
      <c r="A1012" s="174"/>
      <c r="B1012" s="174"/>
      <c r="C1012" s="174"/>
      <c r="D1012" s="174"/>
      <c r="E1012" s="171" t="s">
        <v>328</v>
      </c>
      <c r="F1012" s="38"/>
      <c r="G1012" s="181" t="s">
        <v>445</v>
      </c>
      <c r="H1012" s="38" t="s">
        <v>329</v>
      </c>
      <c r="I1012" s="282">
        <f t="shared" si="185"/>
        <v>0</v>
      </c>
      <c r="J1012" s="282">
        <f t="shared" si="185"/>
        <v>0</v>
      </c>
      <c r="K1012" s="282">
        <f t="shared" si="185"/>
        <v>0</v>
      </c>
      <c r="L1012" s="31"/>
      <c r="M1012" s="31"/>
      <c r="N1012" s="410"/>
      <c r="O1012" s="196"/>
    </row>
    <row r="1013" spans="1:18" ht="20.100000000000001" hidden="1" customHeight="1" x14ac:dyDescent="0.25">
      <c r="A1013" s="174"/>
      <c r="B1013" s="174"/>
      <c r="C1013" s="174"/>
      <c r="D1013" s="174"/>
      <c r="E1013" s="171"/>
      <c r="F1013" s="38" t="s">
        <v>330</v>
      </c>
      <c r="G1013" s="181" t="s">
        <v>445</v>
      </c>
      <c r="H1013" s="38" t="s">
        <v>329</v>
      </c>
      <c r="I1013" s="282">
        <v>0</v>
      </c>
      <c r="J1013" s="282">
        <f>K1013-I1013</f>
        <v>0</v>
      </c>
      <c r="K1013" s="282">
        <v>0</v>
      </c>
      <c r="L1013" s="31"/>
      <c r="M1013" s="31"/>
      <c r="N1013" s="410"/>
      <c r="O1013" s="196"/>
    </row>
    <row r="1014" spans="1:18" ht="20.100000000000001" hidden="1" customHeight="1" x14ac:dyDescent="0.25">
      <c r="A1014" s="174"/>
      <c r="B1014" s="174"/>
      <c r="C1014" s="174"/>
      <c r="D1014" s="174"/>
      <c r="E1014" s="171" t="s">
        <v>331</v>
      </c>
      <c r="F1014" s="38"/>
      <c r="G1014" s="181">
        <v>63</v>
      </c>
      <c r="H1014" s="38" t="s">
        <v>332</v>
      </c>
      <c r="I1014" s="282"/>
      <c r="J1014" s="282"/>
      <c r="K1014" s="282"/>
      <c r="L1014" s="31"/>
      <c r="M1014" s="31"/>
      <c r="N1014" s="410"/>
      <c r="O1014" s="196"/>
    </row>
    <row r="1015" spans="1:18" ht="20.100000000000001" hidden="1" customHeight="1" x14ac:dyDescent="0.25">
      <c r="A1015" s="174"/>
      <c r="B1015" s="174"/>
      <c r="C1015" s="174"/>
      <c r="D1015" s="174"/>
      <c r="E1015" s="171"/>
      <c r="F1015" s="38" t="s">
        <v>333</v>
      </c>
      <c r="G1015" s="181">
        <v>63</v>
      </c>
      <c r="H1015" s="38" t="s">
        <v>332</v>
      </c>
      <c r="I1015" s="282"/>
      <c r="J1015" s="282"/>
      <c r="K1015" s="282"/>
      <c r="L1015" s="31"/>
      <c r="M1015" s="31"/>
      <c r="N1015" s="410"/>
      <c r="O1015" s="196"/>
    </row>
    <row r="1016" spans="1:18" ht="28.5" hidden="1" customHeight="1" x14ac:dyDescent="0.25">
      <c r="A1016" s="172"/>
      <c r="B1016" s="172"/>
      <c r="C1016" s="172"/>
      <c r="D1016" s="172"/>
      <c r="E1016" s="172"/>
      <c r="F1016" s="42"/>
      <c r="G1016" s="211"/>
      <c r="H1016" s="216" t="s">
        <v>359</v>
      </c>
      <c r="I1016" s="283"/>
      <c r="J1016" s="283"/>
      <c r="K1016" s="283"/>
      <c r="L1016" s="57"/>
      <c r="M1016" s="57"/>
      <c r="N1016" s="410"/>
      <c r="O1016" s="196"/>
    </row>
    <row r="1017" spans="1:18" ht="20.100000000000001" hidden="1" customHeight="1" x14ac:dyDescent="0.25">
      <c r="A1017" s="172"/>
      <c r="B1017" s="172"/>
      <c r="C1017" s="172"/>
      <c r="D1017" s="172"/>
      <c r="E1017" s="172"/>
      <c r="F1017" s="42"/>
      <c r="G1017" s="211"/>
      <c r="H1017" s="216" t="s">
        <v>289</v>
      </c>
      <c r="I1017" s="282"/>
      <c r="J1017" s="282"/>
      <c r="K1017" s="282"/>
      <c r="L1017" s="31"/>
      <c r="M1017" s="31"/>
      <c r="N1017" s="410"/>
      <c r="O1017" s="196"/>
    </row>
    <row r="1018" spans="1:18" s="21" customFormat="1" ht="20.100000000000001" hidden="1" customHeight="1" x14ac:dyDescent="0.25">
      <c r="A1018" s="172">
        <v>4</v>
      </c>
      <c r="B1018" s="172"/>
      <c r="C1018" s="172"/>
      <c r="D1018" s="172"/>
      <c r="E1018" s="172"/>
      <c r="F1018" s="42"/>
      <c r="G1018" s="211"/>
      <c r="H1018" s="43" t="s">
        <v>324</v>
      </c>
      <c r="I1018" s="282"/>
      <c r="J1018" s="282"/>
      <c r="K1018" s="282"/>
      <c r="L1018" s="31"/>
      <c r="M1018" s="31"/>
      <c r="N1018" s="410"/>
      <c r="O1018" s="196"/>
      <c r="P1018" s="270"/>
      <c r="Q1018" s="20"/>
      <c r="R1018" s="20"/>
    </row>
    <row r="1019" spans="1:18" s="21" customFormat="1" ht="20.100000000000001" hidden="1" customHeight="1" x14ac:dyDescent="0.25">
      <c r="A1019" s="172"/>
      <c r="B1019" s="172">
        <v>41</v>
      </c>
      <c r="C1019" s="172"/>
      <c r="D1019" s="172"/>
      <c r="E1019" s="172"/>
      <c r="F1019" s="42"/>
      <c r="G1019" s="211"/>
      <c r="H1019" s="43" t="s">
        <v>60</v>
      </c>
      <c r="I1019" s="282"/>
      <c r="J1019" s="282"/>
      <c r="K1019" s="282"/>
      <c r="L1019" s="31"/>
      <c r="M1019" s="31"/>
      <c r="N1019" s="410"/>
      <c r="O1019" s="196"/>
      <c r="P1019" s="270"/>
      <c r="Q1019" s="20"/>
      <c r="R1019" s="20"/>
    </row>
    <row r="1020" spans="1:18" s="21" customFormat="1" ht="20.100000000000001" hidden="1" customHeight="1" x14ac:dyDescent="0.25">
      <c r="A1020" s="172"/>
      <c r="B1020" s="172"/>
      <c r="C1020" s="172">
        <v>412</v>
      </c>
      <c r="D1020" s="172"/>
      <c r="E1020" s="172"/>
      <c r="F1020" s="42"/>
      <c r="G1020" s="211"/>
      <c r="H1020" s="43" t="s">
        <v>325</v>
      </c>
      <c r="I1020" s="282"/>
      <c r="J1020" s="282"/>
      <c r="K1020" s="282"/>
      <c r="L1020" s="31"/>
      <c r="M1020" s="31"/>
      <c r="N1020" s="410"/>
      <c r="O1020" s="196"/>
      <c r="P1020" s="270"/>
      <c r="Q1020" s="20"/>
      <c r="R1020" s="20"/>
    </row>
    <row r="1021" spans="1:18" ht="20.100000000000001" hidden="1" customHeight="1" x14ac:dyDescent="0.25">
      <c r="A1021" s="174"/>
      <c r="B1021" s="174"/>
      <c r="C1021" s="174"/>
      <c r="D1021" s="174">
        <v>4123</v>
      </c>
      <c r="E1021" s="174"/>
      <c r="F1021" s="44"/>
      <c r="G1021" s="211">
        <v>31</v>
      </c>
      <c r="H1021" s="38" t="s">
        <v>62</v>
      </c>
      <c r="I1021" s="282"/>
      <c r="J1021" s="282"/>
      <c r="K1021" s="282"/>
      <c r="L1021" s="31"/>
      <c r="M1021" s="31"/>
      <c r="N1021" s="410"/>
      <c r="O1021" s="196"/>
    </row>
    <row r="1022" spans="1:18" ht="20.100000000000001" hidden="1" customHeight="1" x14ac:dyDescent="0.25">
      <c r="A1022" s="174"/>
      <c r="B1022" s="174"/>
      <c r="C1022" s="174"/>
      <c r="D1022" s="174"/>
      <c r="E1022" s="171" t="s">
        <v>326</v>
      </c>
      <c r="F1022" s="38"/>
      <c r="G1022" s="211">
        <v>31</v>
      </c>
      <c r="H1022" s="38" t="s">
        <v>62</v>
      </c>
      <c r="I1022" s="282"/>
      <c r="J1022" s="282"/>
      <c r="K1022" s="282"/>
      <c r="L1022" s="31"/>
      <c r="M1022" s="31"/>
      <c r="N1022" s="410"/>
      <c r="O1022" s="196"/>
    </row>
    <row r="1023" spans="1:18" ht="20.100000000000001" hidden="1" customHeight="1" x14ac:dyDescent="0.25">
      <c r="A1023" s="174"/>
      <c r="B1023" s="174"/>
      <c r="C1023" s="174"/>
      <c r="D1023" s="174"/>
      <c r="E1023" s="171"/>
      <c r="F1023" s="38" t="s">
        <v>327</v>
      </c>
      <c r="G1023" s="211">
        <v>31</v>
      </c>
      <c r="H1023" s="38" t="s">
        <v>62</v>
      </c>
      <c r="I1023" s="282"/>
      <c r="J1023" s="282"/>
      <c r="K1023" s="282"/>
      <c r="L1023" s="31"/>
      <c r="M1023" s="31"/>
      <c r="N1023" s="410"/>
      <c r="O1023" s="196"/>
    </row>
    <row r="1024" spans="1:18" s="21" customFormat="1" ht="20.100000000000001" hidden="1" customHeight="1" x14ac:dyDescent="0.25">
      <c r="A1024" s="172"/>
      <c r="B1024" s="172">
        <v>42</v>
      </c>
      <c r="C1024" s="172"/>
      <c r="D1024" s="172"/>
      <c r="E1024" s="172"/>
      <c r="F1024" s="42"/>
      <c r="G1024" s="181"/>
      <c r="H1024" s="43" t="s">
        <v>63</v>
      </c>
      <c r="I1024" s="282"/>
      <c r="J1024" s="282"/>
      <c r="K1024" s="282"/>
      <c r="L1024" s="31"/>
      <c r="M1024" s="31"/>
      <c r="N1024" s="410"/>
      <c r="O1024" s="196"/>
      <c r="P1024" s="270"/>
      <c r="Q1024" s="20"/>
      <c r="R1024" s="20"/>
    </row>
    <row r="1025" spans="1:18" s="21" customFormat="1" ht="20.100000000000001" hidden="1" customHeight="1" x14ac:dyDescent="0.25">
      <c r="A1025" s="172"/>
      <c r="B1025" s="172"/>
      <c r="C1025" s="172">
        <v>422</v>
      </c>
      <c r="D1025" s="172"/>
      <c r="E1025" s="172"/>
      <c r="F1025" s="42"/>
      <c r="G1025" s="181"/>
      <c r="H1025" s="43" t="s">
        <v>64</v>
      </c>
      <c r="I1025" s="282"/>
      <c r="J1025" s="282"/>
      <c r="K1025" s="282"/>
      <c r="L1025" s="31"/>
      <c r="M1025" s="31"/>
      <c r="N1025" s="410"/>
      <c r="O1025" s="196"/>
      <c r="P1025" s="270"/>
      <c r="Q1025" s="20"/>
      <c r="R1025" s="20"/>
    </row>
    <row r="1026" spans="1:18" ht="20.100000000000001" hidden="1" customHeight="1" x14ac:dyDescent="0.25">
      <c r="A1026" s="174"/>
      <c r="B1026" s="174"/>
      <c r="C1026" s="174"/>
      <c r="D1026" s="174">
        <v>4221</v>
      </c>
      <c r="E1026" s="174"/>
      <c r="F1026" s="44"/>
      <c r="G1026" s="181">
        <v>31</v>
      </c>
      <c r="H1026" s="38" t="s">
        <v>65</v>
      </c>
      <c r="I1026" s="282"/>
      <c r="J1026" s="282"/>
      <c r="K1026" s="282"/>
      <c r="L1026" s="31"/>
      <c r="M1026" s="31"/>
      <c r="N1026" s="410"/>
      <c r="O1026" s="196"/>
    </row>
    <row r="1027" spans="1:18" ht="20.100000000000001" hidden="1" customHeight="1" x14ac:dyDescent="0.25">
      <c r="A1027" s="174"/>
      <c r="B1027" s="174"/>
      <c r="C1027" s="174"/>
      <c r="D1027" s="174"/>
      <c r="E1027" s="171" t="s">
        <v>328</v>
      </c>
      <c r="F1027" s="38"/>
      <c r="G1027" s="181">
        <v>31</v>
      </c>
      <c r="H1027" s="38" t="s">
        <v>329</v>
      </c>
      <c r="I1027" s="282"/>
      <c r="J1027" s="282"/>
      <c r="K1027" s="282"/>
      <c r="L1027" s="31"/>
      <c r="M1027" s="31"/>
      <c r="N1027" s="410"/>
      <c r="O1027" s="196"/>
    </row>
    <row r="1028" spans="1:18" ht="20.100000000000001" hidden="1" customHeight="1" x14ac:dyDescent="0.25">
      <c r="A1028" s="174"/>
      <c r="B1028" s="174"/>
      <c r="C1028" s="174"/>
      <c r="D1028" s="174"/>
      <c r="E1028" s="171"/>
      <c r="F1028" s="38" t="s">
        <v>330</v>
      </c>
      <c r="G1028" s="181">
        <v>31</v>
      </c>
      <c r="H1028" s="38" t="s">
        <v>329</v>
      </c>
      <c r="I1028" s="282"/>
      <c r="J1028" s="282"/>
      <c r="K1028" s="282"/>
      <c r="L1028" s="31"/>
      <c r="M1028" s="31"/>
      <c r="N1028" s="410"/>
      <c r="O1028" s="196"/>
    </row>
    <row r="1029" spans="1:18" ht="20.100000000000001" hidden="1" customHeight="1" x14ac:dyDescent="0.25">
      <c r="A1029" s="174"/>
      <c r="B1029" s="174"/>
      <c r="C1029" s="174"/>
      <c r="D1029" s="174"/>
      <c r="E1029" s="171" t="s">
        <v>331</v>
      </c>
      <c r="F1029" s="38"/>
      <c r="G1029" s="181">
        <v>31</v>
      </c>
      <c r="H1029" s="38" t="s">
        <v>332</v>
      </c>
      <c r="I1029" s="282"/>
      <c r="J1029" s="282"/>
      <c r="K1029" s="282"/>
      <c r="L1029" s="31"/>
      <c r="M1029" s="31"/>
      <c r="N1029" s="410"/>
      <c r="O1029" s="196"/>
    </row>
    <row r="1030" spans="1:18" ht="20.100000000000001" hidden="1" customHeight="1" x14ac:dyDescent="0.25">
      <c r="A1030" s="174"/>
      <c r="B1030" s="174"/>
      <c r="C1030" s="174"/>
      <c r="D1030" s="174"/>
      <c r="E1030" s="171"/>
      <c r="F1030" s="38" t="s">
        <v>333</v>
      </c>
      <c r="G1030" s="181">
        <v>31</v>
      </c>
      <c r="H1030" s="38" t="s">
        <v>332</v>
      </c>
      <c r="I1030" s="282"/>
      <c r="J1030" s="282"/>
      <c r="K1030" s="282"/>
      <c r="L1030" s="31"/>
      <c r="M1030" s="31"/>
      <c r="N1030" s="410"/>
      <c r="O1030" s="196"/>
    </row>
    <row r="1031" spans="1:18" ht="20.100000000000001" hidden="1" customHeight="1" x14ac:dyDescent="0.25">
      <c r="A1031" s="174"/>
      <c r="B1031" s="174"/>
      <c r="C1031" s="174"/>
      <c r="D1031" s="174">
        <v>4224</v>
      </c>
      <c r="E1031" s="174"/>
      <c r="F1031" s="44"/>
      <c r="G1031" s="181">
        <v>31</v>
      </c>
      <c r="H1031" s="38" t="s">
        <v>66</v>
      </c>
      <c r="I1031" s="282"/>
      <c r="J1031" s="282"/>
      <c r="K1031" s="282"/>
      <c r="L1031" s="31"/>
      <c r="M1031" s="31"/>
      <c r="N1031" s="410"/>
      <c r="O1031" s="196"/>
    </row>
    <row r="1032" spans="1:18" ht="20.100000000000001" hidden="1" customHeight="1" x14ac:dyDescent="0.25">
      <c r="A1032" s="174"/>
      <c r="B1032" s="174"/>
      <c r="C1032" s="174"/>
      <c r="D1032" s="174"/>
      <c r="E1032" s="171" t="s">
        <v>334</v>
      </c>
      <c r="F1032" s="38"/>
      <c r="G1032" s="181">
        <v>31</v>
      </c>
      <c r="H1032" s="38" t="s">
        <v>335</v>
      </c>
      <c r="I1032" s="282"/>
      <c r="J1032" s="282"/>
      <c r="K1032" s="282"/>
      <c r="L1032" s="31"/>
      <c r="M1032" s="31"/>
      <c r="N1032" s="410"/>
      <c r="O1032" s="196"/>
    </row>
    <row r="1033" spans="1:18" ht="20.100000000000001" hidden="1" customHeight="1" x14ac:dyDescent="0.25">
      <c r="A1033" s="174"/>
      <c r="B1033" s="174"/>
      <c r="C1033" s="174"/>
      <c r="D1033" s="174"/>
      <c r="E1033" s="171"/>
      <c r="F1033" s="38" t="s">
        <v>336</v>
      </c>
      <c r="G1033" s="181">
        <v>31</v>
      </c>
      <c r="H1033" s="38" t="s">
        <v>335</v>
      </c>
      <c r="I1033" s="282"/>
      <c r="J1033" s="282"/>
      <c r="K1033" s="282"/>
      <c r="L1033" s="31"/>
      <c r="M1033" s="31"/>
      <c r="N1033" s="410"/>
      <c r="O1033" s="196"/>
    </row>
    <row r="1034" spans="1:18" ht="20.100000000000001" hidden="1" customHeight="1" x14ac:dyDescent="0.25">
      <c r="A1034" s="174"/>
      <c r="B1034" s="174"/>
      <c r="C1034" s="174"/>
      <c r="D1034" s="174"/>
      <c r="E1034" s="171" t="s">
        <v>337</v>
      </c>
      <c r="F1034" s="38"/>
      <c r="G1034" s="181">
        <v>31</v>
      </c>
      <c r="H1034" s="38" t="s">
        <v>338</v>
      </c>
      <c r="I1034" s="282"/>
      <c r="J1034" s="282"/>
      <c r="K1034" s="282"/>
      <c r="L1034" s="31"/>
      <c r="M1034" s="31"/>
      <c r="N1034" s="410"/>
      <c r="O1034" s="196"/>
    </row>
    <row r="1035" spans="1:18" ht="20.100000000000001" hidden="1" customHeight="1" x14ac:dyDescent="0.25">
      <c r="A1035" s="174"/>
      <c r="B1035" s="174"/>
      <c r="C1035" s="174"/>
      <c r="D1035" s="174"/>
      <c r="E1035" s="171"/>
      <c r="F1035" s="38" t="s">
        <v>339</v>
      </c>
      <c r="G1035" s="181">
        <v>31</v>
      </c>
      <c r="H1035" s="38" t="s">
        <v>338</v>
      </c>
      <c r="I1035" s="282"/>
      <c r="J1035" s="282"/>
      <c r="K1035" s="282"/>
      <c r="L1035" s="31"/>
      <c r="M1035" s="31"/>
      <c r="N1035" s="410"/>
      <c r="O1035" s="196"/>
    </row>
    <row r="1036" spans="1:18" s="21" customFormat="1" ht="20.100000000000001" hidden="1" customHeight="1" x14ac:dyDescent="0.25">
      <c r="A1036" s="172"/>
      <c r="B1036" s="172"/>
      <c r="C1036" s="172">
        <v>426</v>
      </c>
      <c r="D1036" s="172"/>
      <c r="E1036" s="172"/>
      <c r="F1036" s="42"/>
      <c r="G1036" s="181"/>
      <c r="H1036" s="43" t="s">
        <v>71</v>
      </c>
      <c r="I1036" s="282"/>
      <c r="J1036" s="282"/>
      <c r="K1036" s="282"/>
      <c r="L1036" s="31"/>
      <c r="M1036" s="31"/>
      <c r="N1036" s="410"/>
      <c r="O1036" s="196"/>
      <c r="P1036" s="270"/>
      <c r="Q1036" s="20"/>
      <c r="R1036" s="20"/>
    </row>
    <row r="1037" spans="1:18" ht="20.100000000000001" hidden="1" customHeight="1" x14ac:dyDescent="0.25">
      <c r="A1037" s="174"/>
      <c r="B1037" s="174"/>
      <c r="C1037" s="174"/>
      <c r="D1037" s="174">
        <v>4262</v>
      </c>
      <c r="E1037" s="174"/>
      <c r="F1037" s="44"/>
      <c r="G1037" s="181">
        <v>31</v>
      </c>
      <c r="H1037" s="38" t="s">
        <v>72</v>
      </c>
      <c r="I1037" s="282"/>
      <c r="J1037" s="282"/>
      <c r="K1037" s="282"/>
      <c r="L1037" s="31"/>
      <c r="M1037" s="31"/>
      <c r="N1037" s="410"/>
      <c r="O1037" s="196"/>
    </row>
    <row r="1038" spans="1:18" ht="20.100000000000001" hidden="1" customHeight="1" x14ac:dyDescent="0.25">
      <c r="A1038" s="174"/>
      <c r="B1038" s="174"/>
      <c r="C1038" s="174"/>
      <c r="D1038" s="174"/>
      <c r="E1038" s="171" t="s">
        <v>346</v>
      </c>
      <c r="F1038" s="38"/>
      <c r="G1038" s="181">
        <v>31</v>
      </c>
      <c r="H1038" s="38" t="s">
        <v>72</v>
      </c>
      <c r="I1038" s="282"/>
      <c r="J1038" s="282"/>
      <c r="K1038" s="282"/>
      <c r="L1038" s="31"/>
      <c r="M1038" s="31"/>
      <c r="N1038" s="410"/>
      <c r="O1038" s="196"/>
    </row>
    <row r="1039" spans="1:18" ht="20.100000000000001" hidden="1" customHeight="1" x14ac:dyDescent="0.25">
      <c r="A1039" s="174"/>
      <c r="B1039" s="174"/>
      <c r="C1039" s="174"/>
      <c r="D1039" s="174"/>
      <c r="E1039" s="171"/>
      <c r="F1039" s="38" t="s">
        <v>347</v>
      </c>
      <c r="G1039" s="181">
        <v>31</v>
      </c>
      <c r="H1039" s="38" t="s">
        <v>72</v>
      </c>
      <c r="I1039" s="282"/>
      <c r="J1039" s="282"/>
      <c r="K1039" s="282"/>
      <c r="L1039" s="31"/>
      <c r="M1039" s="31"/>
      <c r="N1039" s="410"/>
      <c r="O1039" s="196"/>
    </row>
    <row r="1040" spans="1:18" ht="30.75" customHeight="1" x14ac:dyDescent="0.25">
      <c r="A1040" s="243"/>
      <c r="B1040" s="243"/>
      <c r="C1040" s="243"/>
      <c r="D1040" s="243"/>
      <c r="E1040" s="243"/>
      <c r="F1040" s="242"/>
      <c r="G1040" s="244"/>
      <c r="H1040" s="242" t="s">
        <v>539</v>
      </c>
      <c r="I1040" s="284"/>
      <c r="J1040" s="284"/>
      <c r="K1040" s="284"/>
      <c r="L1040" s="57"/>
      <c r="M1040" s="57"/>
      <c r="N1040" s="410"/>
      <c r="O1040" s="196"/>
    </row>
    <row r="1041" spans="1:18" ht="20.100000000000001" customHeight="1" x14ac:dyDescent="0.25">
      <c r="A1041" s="345"/>
      <c r="B1041" s="345"/>
      <c r="C1041" s="345"/>
      <c r="D1041" s="345"/>
      <c r="E1041" s="345"/>
      <c r="F1041" s="313"/>
      <c r="G1041" s="347"/>
      <c r="H1041" s="354" t="s">
        <v>289</v>
      </c>
      <c r="I1041" s="316"/>
      <c r="J1041" s="316"/>
      <c r="K1041" s="389"/>
      <c r="L1041" s="31"/>
      <c r="M1041" s="31"/>
      <c r="N1041" s="410"/>
      <c r="O1041" s="196"/>
    </row>
    <row r="1042" spans="1:18" s="21" customFormat="1" ht="20.100000000000001" customHeight="1" x14ac:dyDescent="0.25">
      <c r="A1042" s="172">
        <v>3</v>
      </c>
      <c r="B1042" s="172"/>
      <c r="C1042" s="172"/>
      <c r="D1042" s="172"/>
      <c r="E1042" s="172"/>
      <c r="F1042" s="42"/>
      <c r="G1042" s="211"/>
      <c r="H1042" s="43" t="s">
        <v>81</v>
      </c>
      <c r="I1042" s="281">
        <f>I1043+I1075</f>
        <v>9500</v>
      </c>
      <c r="J1042" s="281">
        <f>J1043+J1075</f>
        <v>0</v>
      </c>
      <c r="K1042" s="281">
        <f>K1043+K1075</f>
        <v>9500</v>
      </c>
      <c r="L1042" s="45">
        <f t="shared" ref="L1042:M1042" si="186">L1043+L1075</f>
        <v>72000</v>
      </c>
      <c r="M1042" s="45">
        <f t="shared" si="186"/>
        <v>72000</v>
      </c>
      <c r="N1042" s="410"/>
      <c r="O1042" s="196"/>
      <c r="P1042" s="270"/>
      <c r="Q1042" s="20"/>
      <c r="R1042" s="20"/>
    </row>
    <row r="1043" spans="1:18" s="21" customFormat="1" ht="20.100000000000001" customHeight="1" x14ac:dyDescent="0.25">
      <c r="A1043" s="172"/>
      <c r="B1043" s="172">
        <v>31</v>
      </c>
      <c r="C1043" s="172"/>
      <c r="D1043" s="172"/>
      <c r="E1043" s="172"/>
      <c r="F1043" s="42"/>
      <c r="G1043" s="181" t="s">
        <v>466</v>
      </c>
      <c r="H1043" s="43" t="s">
        <v>13</v>
      </c>
      <c r="I1043" s="281">
        <f>I1044+I1066</f>
        <v>2400</v>
      </c>
      <c r="J1043" s="281">
        <f>J1044+J1066</f>
        <v>200</v>
      </c>
      <c r="K1043" s="281">
        <f>K1044+K1066</f>
        <v>2600</v>
      </c>
      <c r="L1043" s="45">
        <f>L1044+L1066</f>
        <v>21300</v>
      </c>
      <c r="M1043" s="45">
        <f>M1044+M1066</f>
        <v>21300</v>
      </c>
      <c r="N1043" s="410"/>
      <c r="O1043" s="196"/>
      <c r="P1043" s="270"/>
      <c r="Q1043" s="20"/>
      <c r="R1043" s="20"/>
    </row>
    <row r="1044" spans="1:18" s="150" customFormat="1" ht="20.100000000000001" hidden="1" customHeight="1" x14ac:dyDescent="0.25">
      <c r="A1044" s="176"/>
      <c r="B1044" s="176"/>
      <c r="C1044" s="172">
        <v>311</v>
      </c>
      <c r="D1044" s="172"/>
      <c r="E1044" s="172"/>
      <c r="F1044" s="42"/>
      <c r="G1044" s="181" t="s">
        <v>466</v>
      </c>
      <c r="H1044" s="43" t="s">
        <v>14</v>
      </c>
      <c r="I1044" s="281">
        <f t="shared" ref="I1044:M1044" si="187">I1045+I1048+I1051</f>
        <v>2120</v>
      </c>
      <c r="J1044" s="281">
        <f t="shared" si="187"/>
        <v>120</v>
      </c>
      <c r="K1044" s="281">
        <f t="shared" si="187"/>
        <v>2240</v>
      </c>
      <c r="L1044" s="157">
        <f t="shared" si="187"/>
        <v>19700</v>
      </c>
      <c r="M1044" s="157">
        <f t="shared" si="187"/>
        <v>19700</v>
      </c>
      <c r="N1044" s="410"/>
      <c r="O1044" s="196"/>
      <c r="P1044" s="195"/>
      <c r="Q1044" s="155"/>
      <c r="R1044" s="149"/>
    </row>
    <row r="1045" spans="1:18" ht="20.100000000000001" hidden="1" customHeight="1" x14ac:dyDescent="0.25">
      <c r="A1045" s="174"/>
      <c r="B1045" s="174"/>
      <c r="C1045" s="174"/>
      <c r="D1045" s="174">
        <v>3111</v>
      </c>
      <c r="E1045" s="174"/>
      <c r="F1045" s="44"/>
      <c r="G1045" s="181" t="s">
        <v>466</v>
      </c>
      <c r="H1045" s="38" t="s">
        <v>15</v>
      </c>
      <c r="I1045" s="282">
        <f t="shared" ref="I1045:M1046" si="188">I1046</f>
        <v>1500</v>
      </c>
      <c r="J1045" s="282">
        <f t="shared" si="188"/>
        <v>540</v>
      </c>
      <c r="K1045" s="282">
        <f t="shared" si="188"/>
        <v>2040</v>
      </c>
      <c r="L1045" s="34">
        <f t="shared" si="188"/>
        <v>8800</v>
      </c>
      <c r="M1045" s="34">
        <f t="shared" si="188"/>
        <v>8800</v>
      </c>
      <c r="N1045" s="410"/>
      <c r="O1045" s="196"/>
      <c r="P1045" s="276"/>
      <c r="Q1045" s="37"/>
    </row>
    <row r="1046" spans="1:18" ht="20.100000000000001" hidden="1" customHeight="1" x14ac:dyDescent="0.25">
      <c r="A1046" s="174"/>
      <c r="B1046" s="174"/>
      <c r="C1046" s="174"/>
      <c r="D1046" s="174"/>
      <c r="E1046" s="171" t="s">
        <v>290</v>
      </c>
      <c r="F1046" s="38"/>
      <c r="G1046" s="181" t="s">
        <v>466</v>
      </c>
      <c r="H1046" s="38" t="s">
        <v>291</v>
      </c>
      <c r="I1046" s="282">
        <f t="shared" si="188"/>
        <v>1500</v>
      </c>
      <c r="J1046" s="282">
        <f t="shared" si="188"/>
        <v>540</v>
      </c>
      <c r="K1046" s="282">
        <f t="shared" si="188"/>
        <v>2040</v>
      </c>
      <c r="L1046" s="39">
        <f t="shared" si="188"/>
        <v>8800</v>
      </c>
      <c r="M1046" s="39">
        <f t="shared" si="188"/>
        <v>8800</v>
      </c>
      <c r="N1046" s="410"/>
      <c r="O1046" s="196"/>
    </row>
    <row r="1047" spans="1:18" ht="20.100000000000001" hidden="1" customHeight="1" x14ac:dyDescent="0.25">
      <c r="A1047" s="174"/>
      <c r="B1047" s="174"/>
      <c r="C1047" s="174"/>
      <c r="D1047" s="174"/>
      <c r="E1047" s="171"/>
      <c r="F1047" s="38" t="s">
        <v>292</v>
      </c>
      <c r="G1047" s="181" t="s">
        <v>466</v>
      </c>
      <c r="H1047" s="38" t="s">
        <v>349</v>
      </c>
      <c r="I1047" s="282">
        <v>1500</v>
      </c>
      <c r="J1047" s="282">
        <f>K1047-I1047</f>
        <v>540</v>
      </c>
      <c r="K1047" s="282">
        <v>2040</v>
      </c>
      <c r="L1047" s="39">
        <v>8800</v>
      </c>
      <c r="M1047" s="39">
        <v>8800</v>
      </c>
      <c r="N1047" s="410"/>
      <c r="O1047" s="390"/>
    </row>
    <row r="1048" spans="1:18" ht="20.100000000000001" hidden="1" customHeight="1" x14ac:dyDescent="0.25">
      <c r="A1048" s="174"/>
      <c r="B1048" s="174"/>
      <c r="C1048" s="174"/>
      <c r="D1048" s="174">
        <v>3113</v>
      </c>
      <c r="E1048" s="174"/>
      <c r="F1048" s="44"/>
      <c r="G1048" s="181" t="s">
        <v>466</v>
      </c>
      <c r="H1048" s="38" t="s">
        <v>16</v>
      </c>
      <c r="I1048" s="282">
        <f t="shared" ref="I1048:M1049" si="189">I1049</f>
        <v>470</v>
      </c>
      <c r="J1048" s="282">
        <f t="shared" si="189"/>
        <v>-445</v>
      </c>
      <c r="K1048" s="282">
        <f t="shared" si="189"/>
        <v>25</v>
      </c>
      <c r="L1048" s="34">
        <f t="shared" si="189"/>
        <v>10000</v>
      </c>
      <c r="M1048" s="34">
        <f t="shared" si="189"/>
        <v>10000</v>
      </c>
      <c r="N1048" s="410"/>
      <c r="O1048" s="390"/>
    </row>
    <row r="1049" spans="1:18" ht="19.5" hidden="1" customHeight="1" x14ac:dyDescent="0.25">
      <c r="A1049" s="174"/>
      <c r="B1049" s="174"/>
      <c r="C1049" s="174"/>
      <c r="D1049" s="174"/>
      <c r="E1049" s="171" t="s">
        <v>293</v>
      </c>
      <c r="F1049" s="38"/>
      <c r="G1049" s="181" t="s">
        <v>466</v>
      </c>
      <c r="H1049" s="38" t="s">
        <v>16</v>
      </c>
      <c r="I1049" s="282">
        <f t="shared" si="189"/>
        <v>470</v>
      </c>
      <c r="J1049" s="282">
        <f t="shared" si="189"/>
        <v>-445</v>
      </c>
      <c r="K1049" s="282">
        <f t="shared" si="189"/>
        <v>25</v>
      </c>
      <c r="L1049" s="34">
        <f t="shared" si="189"/>
        <v>10000</v>
      </c>
      <c r="M1049" s="34">
        <f t="shared" si="189"/>
        <v>10000</v>
      </c>
      <c r="N1049" s="410"/>
      <c r="O1049" s="390"/>
    </row>
    <row r="1050" spans="1:18" ht="20.100000000000001" hidden="1" customHeight="1" x14ac:dyDescent="0.25">
      <c r="A1050" s="174"/>
      <c r="B1050" s="174"/>
      <c r="C1050" s="174"/>
      <c r="D1050" s="174"/>
      <c r="E1050" s="171"/>
      <c r="F1050" s="38" t="s">
        <v>294</v>
      </c>
      <c r="G1050" s="181" t="s">
        <v>466</v>
      </c>
      <c r="H1050" s="38" t="s">
        <v>16</v>
      </c>
      <c r="I1050" s="282">
        <v>470</v>
      </c>
      <c r="J1050" s="282">
        <f>K1050-I1050</f>
        <v>-445</v>
      </c>
      <c r="K1050" s="282">
        <v>25</v>
      </c>
      <c r="L1050" s="34">
        <v>10000</v>
      </c>
      <c r="M1050" s="34">
        <v>10000</v>
      </c>
      <c r="N1050" s="410"/>
      <c r="O1050" s="390"/>
    </row>
    <row r="1051" spans="1:18" ht="20.100000000000001" hidden="1" customHeight="1" x14ac:dyDescent="0.25">
      <c r="A1051" s="174"/>
      <c r="B1051" s="174"/>
      <c r="C1051" s="174"/>
      <c r="D1051" s="174">
        <v>3114</v>
      </c>
      <c r="E1051" s="174"/>
      <c r="F1051" s="44"/>
      <c r="G1051" s="181" t="s">
        <v>466</v>
      </c>
      <c r="H1051" s="38" t="s">
        <v>360</v>
      </c>
      <c r="I1051" s="282">
        <f t="shared" ref="I1051:M1052" si="190">I1052</f>
        <v>150</v>
      </c>
      <c r="J1051" s="282">
        <f t="shared" si="190"/>
        <v>25</v>
      </c>
      <c r="K1051" s="282">
        <f t="shared" si="190"/>
        <v>175</v>
      </c>
      <c r="L1051" s="34">
        <f t="shared" si="190"/>
        <v>900</v>
      </c>
      <c r="M1051" s="34">
        <f t="shared" si="190"/>
        <v>900</v>
      </c>
      <c r="N1051" s="410"/>
      <c r="O1051" s="390"/>
    </row>
    <row r="1052" spans="1:18" ht="20.100000000000001" hidden="1" customHeight="1" x14ac:dyDescent="0.25">
      <c r="A1052" s="174"/>
      <c r="B1052" s="174"/>
      <c r="C1052" s="174"/>
      <c r="D1052" s="174"/>
      <c r="E1052" s="171" t="s">
        <v>295</v>
      </c>
      <c r="F1052" s="38"/>
      <c r="G1052" s="181" t="s">
        <v>466</v>
      </c>
      <c r="H1052" s="38" t="s">
        <v>17</v>
      </c>
      <c r="I1052" s="282">
        <f t="shared" si="190"/>
        <v>150</v>
      </c>
      <c r="J1052" s="282">
        <f t="shared" si="190"/>
        <v>25</v>
      </c>
      <c r="K1052" s="282">
        <f t="shared" si="190"/>
        <v>175</v>
      </c>
      <c r="L1052" s="34">
        <f t="shared" si="190"/>
        <v>900</v>
      </c>
      <c r="M1052" s="34">
        <f t="shared" si="190"/>
        <v>900</v>
      </c>
      <c r="N1052" s="410"/>
      <c r="O1052" s="390"/>
      <c r="P1052" s="390"/>
    </row>
    <row r="1053" spans="1:18" ht="20.100000000000001" hidden="1" customHeight="1" x14ac:dyDescent="0.25">
      <c r="A1053" s="174"/>
      <c r="B1053" s="174"/>
      <c r="C1053" s="174"/>
      <c r="D1053" s="174"/>
      <c r="E1053" s="171"/>
      <c r="F1053" s="38" t="s">
        <v>296</v>
      </c>
      <c r="G1053" s="181" t="s">
        <v>466</v>
      </c>
      <c r="H1053" s="38" t="s">
        <v>17</v>
      </c>
      <c r="I1053" s="282">
        <v>150</v>
      </c>
      <c r="J1053" s="282">
        <f>K1053-I1053</f>
        <v>25</v>
      </c>
      <c r="K1053" s="282">
        <v>175</v>
      </c>
      <c r="L1053" s="34">
        <v>900</v>
      </c>
      <c r="M1053" s="34">
        <v>900</v>
      </c>
      <c r="N1053" s="410"/>
      <c r="O1053" s="390"/>
    </row>
    <row r="1054" spans="1:18" s="21" customFormat="1" ht="20.100000000000001" hidden="1" customHeight="1" x14ac:dyDescent="0.25">
      <c r="A1054" s="172"/>
      <c r="B1054" s="172"/>
      <c r="C1054" s="172">
        <v>312</v>
      </c>
      <c r="D1054" s="172"/>
      <c r="E1054" s="172"/>
      <c r="F1054" s="42"/>
      <c r="G1054" s="181" t="s">
        <v>466</v>
      </c>
      <c r="H1054" s="43" t="s">
        <v>18</v>
      </c>
      <c r="I1054" s="282">
        <f>I1055</f>
        <v>0</v>
      </c>
      <c r="J1054" s="282">
        <f>J1055</f>
        <v>0</v>
      </c>
      <c r="K1054" s="282">
        <f>K1055</f>
        <v>0</v>
      </c>
      <c r="L1054" s="31"/>
      <c r="M1054" s="31"/>
      <c r="N1054" s="410"/>
      <c r="O1054" s="390"/>
      <c r="P1054" s="270"/>
      <c r="Q1054" s="20"/>
      <c r="R1054" s="20"/>
    </row>
    <row r="1055" spans="1:18" ht="20.100000000000001" hidden="1" customHeight="1" x14ac:dyDescent="0.25">
      <c r="A1055" s="174"/>
      <c r="B1055" s="174"/>
      <c r="C1055" s="174"/>
      <c r="D1055" s="174">
        <v>3121</v>
      </c>
      <c r="E1055" s="174"/>
      <c r="F1055" s="44"/>
      <c r="G1055" s="181" t="s">
        <v>466</v>
      </c>
      <c r="H1055" s="38" t="s">
        <v>18</v>
      </c>
      <c r="I1055" s="282">
        <f>I1056+I1058+I1060+I1062+I1064</f>
        <v>0</v>
      </c>
      <c r="J1055" s="282">
        <f>J1056+J1058+J1060+J1062+J1064</f>
        <v>0</v>
      </c>
      <c r="K1055" s="282">
        <f>K1056+K1058+K1060+K1062+K1064</f>
        <v>0</v>
      </c>
      <c r="L1055" s="31"/>
      <c r="M1055" s="31"/>
      <c r="N1055" s="410"/>
      <c r="O1055" s="390"/>
    </row>
    <row r="1056" spans="1:18" ht="20.100000000000001" hidden="1" customHeight="1" x14ac:dyDescent="0.25">
      <c r="A1056" s="174"/>
      <c r="B1056" s="174"/>
      <c r="C1056" s="174"/>
      <c r="D1056" s="174"/>
      <c r="E1056" s="171" t="s">
        <v>84</v>
      </c>
      <c r="F1056" s="38"/>
      <c r="G1056" s="181" t="s">
        <v>466</v>
      </c>
      <c r="H1056" s="38" t="s">
        <v>85</v>
      </c>
      <c r="I1056" s="282">
        <f>I1057</f>
        <v>0</v>
      </c>
      <c r="J1056" s="282">
        <f>J1057</f>
        <v>0</v>
      </c>
      <c r="K1056" s="282">
        <f>K1057</f>
        <v>0</v>
      </c>
      <c r="L1056" s="31"/>
      <c r="M1056" s="31"/>
      <c r="N1056" s="410"/>
      <c r="O1056" s="390"/>
    </row>
    <row r="1057" spans="1:18" ht="20.100000000000001" hidden="1" customHeight="1" x14ac:dyDescent="0.25">
      <c r="A1057" s="174"/>
      <c r="B1057" s="174"/>
      <c r="C1057" s="174"/>
      <c r="D1057" s="174"/>
      <c r="E1057" s="171"/>
      <c r="F1057" s="38" t="s">
        <v>86</v>
      </c>
      <c r="G1057" s="181" t="s">
        <v>466</v>
      </c>
      <c r="H1057" s="38" t="s">
        <v>85</v>
      </c>
      <c r="I1057" s="282">
        <v>0</v>
      </c>
      <c r="J1057" s="282">
        <v>0</v>
      </c>
      <c r="K1057" s="282">
        <f>I1057+J1057</f>
        <v>0</v>
      </c>
      <c r="L1057" s="31"/>
      <c r="M1057" s="31"/>
      <c r="N1057" s="410"/>
      <c r="O1057" s="390"/>
    </row>
    <row r="1058" spans="1:18" ht="20.100000000000001" hidden="1" customHeight="1" x14ac:dyDescent="0.25">
      <c r="A1058" s="174"/>
      <c r="B1058" s="174"/>
      <c r="C1058" s="174"/>
      <c r="D1058" s="174"/>
      <c r="E1058" s="171" t="s">
        <v>87</v>
      </c>
      <c r="F1058" s="38"/>
      <c r="G1058" s="181" t="s">
        <v>466</v>
      </c>
      <c r="H1058" s="38" t="s">
        <v>88</v>
      </c>
      <c r="I1058" s="282">
        <f>I1059</f>
        <v>0</v>
      </c>
      <c r="J1058" s="282">
        <f>J1059</f>
        <v>0</v>
      </c>
      <c r="K1058" s="282">
        <f>K1059</f>
        <v>0</v>
      </c>
      <c r="L1058" s="31"/>
      <c r="M1058" s="31"/>
      <c r="N1058" s="410"/>
      <c r="O1058" s="390"/>
    </row>
    <row r="1059" spans="1:18" ht="20.100000000000001" hidden="1" customHeight="1" x14ac:dyDescent="0.25">
      <c r="A1059" s="174"/>
      <c r="B1059" s="174"/>
      <c r="C1059" s="174"/>
      <c r="D1059" s="174"/>
      <c r="E1059" s="171"/>
      <c r="F1059" s="38" t="s">
        <v>89</v>
      </c>
      <c r="G1059" s="181" t="s">
        <v>466</v>
      </c>
      <c r="H1059" s="38" t="s">
        <v>88</v>
      </c>
      <c r="I1059" s="282">
        <v>0</v>
      </c>
      <c r="J1059" s="282">
        <v>0</v>
      </c>
      <c r="K1059" s="282">
        <f>I1059+J1059</f>
        <v>0</v>
      </c>
      <c r="L1059" s="31"/>
      <c r="M1059" s="31"/>
      <c r="N1059" s="410"/>
      <c r="O1059" s="390"/>
    </row>
    <row r="1060" spans="1:18" ht="20.100000000000001" hidden="1" customHeight="1" x14ac:dyDescent="0.25">
      <c r="A1060" s="174"/>
      <c r="B1060" s="174"/>
      <c r="C1060" s="174"/>
      <c r="D1060" s="174"/>
      <c r="E1060" s="171" t="s">
        <v>90</v>
      </c>
      <c r="F1060" s="38"/>
      <c r="G1060" s="181" t="s">
        <v>466</v>
      </c>
      <c r="H1060" s="38" t="s">
        <v>91</v>
      </c>
      <c r="I1060" s="282">
        <f>I1061</f>
        <v>0</v>
      </c>
      <c r="J1060" s="282">
        <f>J1061</f>
        <v>0</v>
      </c>
      <c r="K1060" s="282">
        <f>K1061</f>
        <v>0</v>
      </c>
      <c r="L1060" s="31"/>
      <c r="M1060" s="31"/>
      <c r="N1060" s="410"/>
      <c r="O1060" s="390"/>
    </row>
    <row r="1061" spans="1:18" ht="20.100000000000001" hidden="1" customHeight="1" x14ac:dyDescent="0.25">
      <c r="A1061" s="174"/>
      <c r="B1061" s="174"/>
      <c r="C1061" s="174"/>
      <c r="D1061" s="174"/>
      <c r="E1061" s="171"/>
      <c r="F1061" s="38" t="s">
        <v>92</v>
      </c>
      <c r="G1061" s="181" t="s">
        <v>466</v>
      </c>
      <c r="H1061" s="38" t="s">
        <v>91</v>
      </c>
      <c r="I1061" s="282">
        <v>0</v>
      </c>
      <c r="J1061" s="282">
        <v>0</v>
      </c>
      <c r="K1061" s="282">
        <f>I1061+J1061</f>
        <v>0</v>
      </c>
      <c r="L1061" s="31"/>
      <c r="M1061" s="31"/>
      <c r="N1061" s="410"/>
      <c r="O1061" s="390"/>
    </row>
    <row r="1062" spans="1:18" ht="20.100000000000001" hidden="1" customHeight="1" x14ac:dyDescent="0.25">
      <c r="A1062" s="174"/>
      <c r="B1062" s="174"/>
      <c r="C1062" s="174"/>
      <c r="D1062" s="174"/>
      <c r="E1062" s="171" t="s">
        <v>93</v>
      </c>
      <c r="F1062" s="38"/>
      <c r="G1062" s="181" t="s">
        <v>466</v>
      </c>
      <c r="H1062" s="38" t="s">
        <v>94</v>
      </c>
      <c r="I1062" s="282">
        <f>I1063</f>
        <v>0</v>
      </c>
      <c r="J1062" s="282">
        <f>J1063</f>
        <v>0</v>
      </c>
      <c r="K1062" s="282">
        <f>K1063</f>
        <v>0</v>
      </c>
      <c r="L1062" s="31"/>
      <c r="M1062" s="31"/>
      <c r="N1062" s="410"/>
      <c r="O1062" s="390"/>
    </row>
    <row r="1063" spans="1:18" ht="20.100000000000001" hidden="1" customHeight="1" x14ac:dyDescent="0.25">
      <c r="A1063" s="174"/>
      <c r="B1063" s="174"/>
      <c r="C1063" s="174"/>
      <c r="D1063" s="174"/>
      <c r="E1063" s="171"/>
      <c r="F1063" s="38" t="s">
        <v>95</v>
      </c>
      <c r="G1063" s="181" t="s">
        <v>466</v>
      </c>
      <c r="H1063" s="38" t="s">
        <v>94</v>
      </c>
      <c r="I1063" s="282">
        <v>0</v>
      </c>
      <c r="J1063" s="282">
        <v>0</v>
      </c>
      <c r="K1063" s="282">
        <f>I1063+J1063</f>
        <v>0</v>
      </c>
      <c r="L1063" s="31"/>
      <c r="M1063" s="31"/>
      <c r="N1063" s="410"/>
      <c r="O1063" s="390"/>
    </row>
    <row r="1064" spans="1:18" ht="20.100000000000001" hidden="1" customHeight="1" x14ac:dyDescent="0.25">
      <c r="A1064" s="174"/>
      <c r="B1064" s="174"/>
      <c r="C1064" s="174"/>
      <c r="D1064" s="174"/>
      <c r="E1064" s="171" t="s">
        <v>96</v>
      </c>
      <c r="F1064" s="38"/>
      <c r="G1064" s="181" t="s">
        <v>466</v>
      </c>
      <c r="H1064" s="38" t="s">
        <v>97</v>
      </c>
      <c r="I1064" s="282">
        <f>I1065</f>
        <v>0</v>
      </c>
      <c r="J1064" s="282">
        <f>J1065</f>
        <v>0</v>
      </c>
      <c r="K1064" s="282">
        <f>K1065</f>
        <v>0</v>
      </c>
      <c r="L1064" s="31"/>
      <c r="M1064" s="31"/>
      <c r="N1064" s="410"/>
      <c r="O1064" s="390"/>
    </row>
    <row r="1065" spans="1:18" ht="20.100000000000001" hidden="1" customHeight="1" x14ac:dyDescent="0.25">
      <c r="A1065" s="174"/>
      <c r="B1065" s="174"/>
      <c r="C1065" s="174"/>
      <c r="D1065" s="174"/>
      <c r="E1065" s="171"/>
      <c r="F1065" s="38" t="s">
        <v>98</v>
      </c>
      <c r="G1065" s="181" t="s">
        <v>466</v>
      </c>
      <c r="H1065" s="38" t="s">
        <v>97</v>
      </c>
      <c r="I1065" s="282">
        <v>0</v>
      </c>
      <c r="J1065" s="282">
        <v>0</v>
      </c>
      <c r="K1065" s="282">
        <f>I1065+J1065</f>
        <v>0</v>
      </c>
      <c r="L1065" s="31"/>
      <c r="M1065" s="31"/>
      <c r="N1065" s="410"/>
      <c r="O1065" s="390"/>
    </row>
    <row r="1066" spans="1:18" s="150" customFormat="1" ht="20.100000000000001" hidden="1" customHeight="1" x14ac:dyDescent="0.25">
      <c r="A1066" s="176"/>
      <c r="B1066" s="176"/>
      <c r="C1066" s="172">
        <v>313</v>
      </c>
      <c r="D1066" s="172"/>
      <c r="E1066" s="172"/>
      <c r="F1066" s="42"/>
      <c r="G1066" s="181" t="s">
        <v>466</v>
      </c>
      <c r="H1066" s="43" t="s">
        <v>100</v>
      </c>
      <c r="I1066" s="281">
        <f t="shared" ref="I1066:M1068" si="191">I1067</f>
        <v>280</v>
      </c>
      <c r="J1066" s="281">
        <f t="shared" si="191"/>
        <v>80</v>
      </c>
      <c r="K1066" s="281">
        <f t="shared" si="191"/>
        <v>360</v>
      </c>
      <c r="L1066" s="148">
        <f t="shared" si="191"/>
        <v>1600</v>
      </c>
      <c r="M1066" s="148">
        <f t="shared" si="191"/>
        <v>1600</v>
      </c>
      <c r="N1066" s="410"/>
      <c r="O1066" s="390"/>
      <c r="P1066" s="270"/>
      <c r="Q1066" s="149"/>
      <c r="R1066" s="149"/>
    </row>
    <row r="1067" spans="1:18" ht="20.100000000000001" hidden="1" customHeight="1" x14ac:dyDescent="0.25">
      <c r="A1067" s="174"/>
      <c r="B1067" s="174"/>
      <c r="C1067" s="174"/>
      <c r="D1067" s="174">
        <v>3132</v>
      </c>
      <c r="E1067" s="174"/>
      <c r="F1067" s="44"/>
      <c r="G1067" s="181" t="s">
        <v>466</v>
      </c>
      <c r="H1067" s="38" t="s">
        <v>20</v>
      </c>
      <c r="I1067" s="282">
        <f t="shared" si="191"/>
        <v>280</v>
      </c>
      <c r="J1067" s="282">
        <f t="shared" si="191"/>
        <v>80</v>
      </c>
      <c r="K1067" s="282">
        <f t="shared" si="191"/>
        <v>360</v>
      </c>
      <c r="L1067" s="34">
        <f t="shared" si="191"/>
        <v>1600</v>
      </c>
      <c r="M1067" s="34">
        <f t="shared" si="191"/>
        <v>1600</v>
      </c>
      <c r="N1067" s="410"/>
      <c r="O1067" s="196"/>
    </row>
    <row r="1068" spans="1:18" ht="20.100000000000001" hidden="1" customHeight="1" x14ac:dyDescent="0.25">
      <c r="A1068" s="174"/>
      <c r="B1068" s="174"/>
      <c r="C1068" s="174"/>
      <c r="D1068" s="174"/>
      <c r="E1068" s="171" t="s">
        <v>300</v>
      </c>
      <c r="F1068" s="38"/>
      <c r="G1068" s="181" t="s">
        <v>466</v>
      </c>
      <c r="H1068" s="38" t="s">
        <v>20</v>
      </c>
      <c r="I1068" s="282">
        <f t="shared" si="191"/>
        <v>280</v>
      </c>
      <c r="J1068" s="282">
        <f t="shared" si="191"/>
        <v>80</v>
      </c>
      <c r="K1068" s="282">
        <f t="shared" si="191"/>
        <v>360</v>
      </c>
      <c r="L1068" s="34">
        <f t="shared" si="191"/>
        <v>1600</v>
      </c>
      <c r="M1068" s="34">
        <f t="shared" si="191"/>
        <v>1600</v>
      </c>
      <c r="N1068" s="410"/>
      <c r="O1068" s="196"/>
    </row>
    <row r="1069" spans="1:18" ht="20.100000000000001" hidden="1" customHeight="1" x14ac:dyDescent="0.25">
      <c r="A1069" s="174"/>
      <c r="B1069" s="174"/>
      <c r="C1069" s="174"/>
      <c r="D1069" s="174"/>
      <c r="E1069" s="171"/>
      <c r="F1069" s="38" t="s">
        <v>301</v>
      </c>
      <c r="G1069" s="181" t="s">
        <v>466</v>
      </c>
      <c r="H1069" s="38" t="s">
        <v>20</v>
      </c>
      <c r="I1069" s="282">
        <v>280</v>
      </c>
      <c r="J1069" s="282">
        <f>K1069-I1069</f>
        <v>80</v>
      </c>
      <c r="K1069" s="282">
        <v>360</v>
      </c>
      <c r="L1069" s="34">
        <v>1600</v>
      </c>
      <c r="M1069" s="34">
        <v>1600</v>
      </c>
      <c r="N1069" s="410"/>
      <c r="O1069" s="196"/>
    </row>
    <row r="1070" spans="1:18" ht="30" hidden="1" customHeight="1" x14ac:dyDescent="0.25">
      <c r="A1070" s="174"/>
      <c r="B1070" s="174"/>
      <c r="C1070" s="174"/>
      <c r="D1070" s="174"/>
      <c r="E1070" s="171" t="s">
        <v>302</v>
      </c>
      <c r="F1070" s="38"/>
      <c r="G1070" s="181" t="s">
        <v>466</v>
      </c>
      <c r="H1070" s="38" t="s">
        <v>101</v>
      </c>
      <c r="I1070" s="282"/>
      <c r="J1070" s="282"/>
      <c r="K1070" s="282"/>
      <c r="L1070" s="31"/>
      <c r="M1070" s="31"/>
      <c r="N1070" s="410"/>
      <c r="O1070" s="196"/>
    </row>
    <row r="1071" spans="1:18" ht="30" hidden="1" customHeight="1" x14ac:dyDescent="0.25">
      <c r="A1071" s="174"/>
      <c r="B1071" s="174"/>
      <c r="C1071" s="174"/>
      <c r="D1071" s="174"/>
      <c r="E1071" s="171"/>
      <c r="F1071" s="38" t="s">
        <v>303</v>
      </c>
      <c r="G1071" s="181" t="s">
        <v>466</v>
      </c>
      <c r="H1071" s="38" t="s">
        <v>101</v>
      </c>
      <c r="I1071" s="282"/>
      <c r="J1071" s="282"/>
      <c r="K1071" s="282"/>
      <c r="L1071" s="31"/>
      <c r="M1071" s="31"/>
      <c r="N1071" s="410"/>
      <c r="O1071" s="196"/>
    </row>
    <row r="1072" spans="1:18" ht="27" hidden="1" customHeight="1" x14ac:dyDescent="0.25">
      <c r="A1072" s="174"/>
      <c r="B1072" s="174"/>
      <c r="C1072" s="174"/>
      <c r="D1072" s="174">
        <v>3133</v>
      </c>
      <c r="E1072" s="174"/>
      <c r="F1072" s="44"/>
      <c r="G1072" s="181" t="s">
        <v>466</v>
      </c>
      <c r="H1072" s="38" t="s">
        <v>21</v>
      </c>
      <c r="I1072" s="282"/>
      <c r="J1072" s="282"/>
      <c r="K1072" s="282"/>
      <c r="L1072" s="31"/>
      <c r="M1072" s="31"/>
      <c r="N1072" s="410"/>
      <c r="O1072" s="196"/>
    </row>
    <row r="1073" spans="1:18" ht="30" hidden="1" customHeight="1" x14ac:dyDescent="0.25">
      <c r="A1073" s="174"/>
      <c r="B1073" s="174"/>
      <c r="C1073" s="174"/>
      <c r="D1073" s="174"/>
      <c r="E1073" s="171" t="s">
        <v>304</v>
      </c>
      <c r="F1073" s="38"/>
      <c r="G1073" s="181" t="s">
        <v>466</v>
      </c>
      <c r="H1073" s="38" t="s">
        <v>21</v>
      </c>
      <c r="I1073" s="282"/>
      <c r="J1073" s="282"/>
      <c r="K1073" s="282"/>
      <c r="L1073" s="31"/>
      <c r="M1073" s="31"/>
      <c r="N1073" s="410"/>
      <c r="O1073" s="196"/>
    </row>
    <row r="1074" spans="1:18" ht="30" hidden="1" customHeight="1" x14ac:dyDescent="0.25">
      <c r="A1074" s="174"/>
      <c r="B1074" s="174"/>
      <c r="C1074" s="174"/>
      <c r="D1074" s="174"/>
      <c r="E1074" s="171"/>
      <c r="F1074" s="38" t="s">
        <v>305</v>
      </c>
      <c r="G1074" s="181" t="s">
        <v>466</v>
      </c>
      <c r="H1074" s="38" t="s">
        <v>21</v>
      </c>
      <c r="I1074" s="282"/>
      <c r="J1074" s="282"/>
      <c r="K1074" s="282"/>
      <c r="L1074" s="31"/>
      <c r="M1074" s="31"/>
      <c r="N1074" s="410"/>
      <c r="O1074" s="196"/>
    </row>
    <row r="1075" spans="1:18" s="21" customFormat="1" ht="20.100000000000001" customHeight="1" x14ac:dyDescent="0.25">
      <c r="A1075" s="172"/>
      <c r="B1075" s="172">
        <v>32</v>
      </c>
      <c r="C1075" s="172"/>
      <c r="D1075" s="172"/>
      <c r="E1075" s="172"/>
      <c r="F1075" s="42"/>
      <c r="G1075" s="181" t="s">
        <v>466</v>
      </c>
      <c r="H1075" s="43" t="s">
        <v>22</v>
      </c>
      <c r="I1075" s="281">
        <f>I1076+I1097+I1121</f>
        <v>7100</v>
      </c>
      <c r="J1075" s="281">
        <f>J1076+J1097+J1121</f>
        <v>-200</v>
      </c>
      <c r="K1075" s="281">
        <f>K1076+K1097+K1121</f>
        <v>6900</v>
      </c>
      <c r="L1075" s="31">
        <f>L1076+L1097+L1121</f>
        <v>50700</v>
      </c>
      <c r="M1075" s="31">
        <f>M1076+M1097+M1121</f>
        <v>50700</v>
      </c>
      <c r="N1075" s="410"/>
      <c r="O1075" s="196"/>
      <c r="P1075" s="270"/>
      <c r="Q1075" s="20"/>
      <c r="R1075" s="20"/>
    </row>
    <row r="1076" spans="1:18" s="150" customFormat="1" ht="20.100000000000001" hidden="1" customHeight="1" x14ac:dyDescent="0.25">
      <c r="A1076" s="176"/>
      <c r="B1076" s="176"/>
      <c r="C1076" s="172">
        <v>321</v>
      </c>
      <c r="D1076" s="172"/>
      <c r="E1076" s="172"/>
      <c r="F1076" s="42"/>
      <c r="G1076" s="181" t="s">
        <v>466</v>
      </c>
      <c r="H1076" s="43" t="s">
        <v>23</v>
      </c>
      <c r="I1076" s="281">
        <f>I1077+I1091</f>
        <v>260</v>
      </c>
      <c r="J1076" s="281">
        <f>J1077+J1091</f>
        <v>-260</v>
      </c>
      <c r="K1076" s="281">
        <f>K1077+K1091</f>
        <v>0</v>
      </c>
      <c r="L1076" s="156">
        <f>L1077+L1091</f>
        <v>2500</v>
      </c>
      <c r="M1076" s="156">
        <f>M1077+M1091</f>
        <v>2500</v>
      </c>
      <c r="N1076" s="410"/>
      <c r="O1076" s="196"/>
      <c r="P1076" s="270"/>
      <c r="Q1076" s="149"/>
      <c r="R1076" s="149"/>
    </row>
    <row r="1077" spans="1:18" ht="20.100000000000001" hidden="1" customHeight="1" x14ac:dyDescent="0.25">
      <c r="A1077" s="174"/>
      <c r="B1077" s="174"/>
      <c r="C1077" s="174"/>
      <c r="D1077" s="174">
        <v>3211</v>
      </c>
      <c r="E1077" s="174"/>
      <c r="F1077" s="44"/>
      <c r="G1077" s="181" t="s">
        <v>466</v>
      </c>
      <c r="H1077" s="38" t="s">
        <v>24</v>
      </c>
      <c r="I1077" s="282">
        <f t="shared" ref="I1077:M1078" si="192">I1078</f>
        <v>60</v>
      </c>
      <c r="J1077" s="282">
        <f t="shared" si="192"/>
        <v>-60</v>
      </c>
      <c r="K1077" s="282">
        <f t="shared" si="192"/>
        <v>0</v>
      </c>
      <c r="L1077" s="34">
        <f t="shared" si="192"/>
        <v>500</v>
      </c>
      <c r="M1077" s="34">
        <f t="shared" si="192"/>
        <v>500</v>
      </c>
      <c r="N1077" s="410"/>
      <c r="O1077" s="196"/>
    </row>
    <row r="1078" spans="1:18" ht="20.100000000000001" hidden="1" customHeight="1" x14ac:dyDescent="0.25">
      <c r="A1078" s="174"/>
      <c r="B1078" s="174"/>
      <c r="C1078" s="174"/>
      <c r="D1078" s="174"/>
      <c r="E1078" s="171" t="s">
        <v>306</v>
      </c>
      <c r="F1078" s="38"/>
      <c r="G1078" s="181" t="s">
        <v>466</v>
      </c>
      <c r="H1078" s="38" t="s">
        <v>102</v>
      </c>
      <c r="I1078" s="282">
        <f t="shared" si="192"/>
        <v>60</v>
      </c>
      <c r="J1078" s="282">
        <f t="shared" si="192"/>
        <v>-60</v>
      </c>
      <c r="K1078" s="282">
        <f t="shared" si="192"/>
        <v>0</v>
      </c>
      <c r="L1078" s="34">
        <f t="shared" si="192"/>
        <v>500</v>
      </c>
      <c r="M1078" s="34">
        <f t="shared" si="192"/>
        <v>500</v>
      </c>
      <c r="N1078" s="410"/>
      <c r="O1078" s="196"/>
    </row>
    <row r="1079" spans="1:18" ht="20.100000000000001" hidden="1" customHeight="1" x14ac:dyDescent="0.25">
      <c r="A1079" s="174"/>
      <c r="B1079" s="174"/>
      <c r="C1079" s="174"/>
      <c r="D1079" s="174"/>
      <c r="E1079" s="171"/>
      <c r="F1079" s="38" t="s">
        <v>307</v>
      </c>
      <c r="G1079" s="181" t="s">
        <v>466</v>
      </c>
      <c r="H1079" s="38" t="s">
        <v>102</v>
      </c>
      <c r="I1079" s="282">
        <v>60</v>
      </c>
      <c r="J1079" s="282">
        <f>K1079-I1079</f>
        <v>-60</v>
      </c>
      <c r="K1079" s="282">
        <v>0</v>
      </c>
      <c r="L1079" s="34">
        <v>500</v>
      </c>
      <c r="M1079" s="34">
        <v>500</v>
      </c>
      <c r="N1079" s="410"/>
      <c r="O1079" s="196"/>
    </row>
    <row r="1080" spans="1:18" ht="30" hidden="1" customHeight="1" x14ac:dyDescent="0.25">
      <c r="A1080" s="174"/>
      <c r="B1080" s="174"/>
      <c r="C1080" s="174"/>
      <c r="D1080" s="174"/>
      <c r="E1080" s="171" t="s">
        <v>308</v>
      </c>
      <c r="F1080" s="38"/>
      <c r="G1080" s="181" t="s">
        <v>466</v>
      </c>
      <c r="H1080" s="38" t="s">
        <v>103</v>
      </c>
      <c r="I1080" s="282"/>
      <c r="J1080" s="282"/>
      <c r="K1080" s="282"/>
      <c r="L1080" s="34"/>
      <c r="M1080" s="34"/>
      <c r="N1080" s="410"/>
      <c r="O1080" s="196"/>
    </row>
    <row r="1081" spans="1:18" ht="30" hidden="1" customHeight="1" x14ac:dyDescent="0.25">
      <c r="A1081" s="174"/>
      <c r="B1081" s="174"/>
      <c r="C1081" s="174"/>
      <c r="D1081" s="174"/>
      <c r="E1081" s="171"/>
      <c r="F1081" s="38" t="s">
        <v>309</v>
      </c>
      <c r="G1081" s="181" t="s">
        <v>466</v>
      </c>
      <c r="H1081" s="38" t="s">
        <v>103</v>
      </c>
      <c r="I1081" s="282"/>
      <c r="J1081" s="282"/>
      <c r="K1081" s="282"/>
      <c r="L1081" s="34"/>
      <c r="M1081" s="34"/>
      <c r="N1081" s="410"/>
      <c r="O1081" s="196"/>
      <c r="P1081" s="412"/>
      <c r="Q1081" s="194"/>
      <c r="R1081" s="194"/>
    </row>
    <row r="1082" spans="1:18" ht="30" hidden="1" customHeight="1" x14ac:dyDescent="0.25">
      <c r="A1082" s="174"/>
      <c r="B1082" s="174"/>
      <c r="C1082" s="174"/>
      <c r="D1082" s="174"/>
      <c r="E1082" s="171" t="s">
        <v>310</v>
      </c>
      <c r="F1082" s="38"/>
      <c r="G1082" s="181" t="s">
        <v>466</v>
      </c>
      <c r="H1082" s="38" t="s">
        <v>351</v>
      </c>
      <c r="I1082" s="282"/>
      <c r="J1082" s="282"/>
      <c r="K1082" s="282"/>
      <c r="L1082" s="34"/>
      <c r="M1082" s="34"/>
      <c r="N1082" s="410"/>
      <c r="O1082" s="196"/>
      <c r="P1082" s="412"/>
      <c r="Q1082" s="194"/>
      <c r="R1082" s="194"/>
    </row>
    <row r="1083" spans="1:18" ht="30" hidden="1" customHeight="1" x14ac:dyDescent="0.25">
      <c r="A1083" s="174"/>
      <c r="B1083" s="174"/>
      <c r="C1083" s="174"/>
      <c r="D1083" s="174"/>
      <c r="E1083" s="171"/>
      <c r="F1083" s="38" t="s">
        <v>311</v>
      </c>
      <c r="G1083" s="181" t="s">
        <v>466</v>
      </c>
      <c r="H1083" s="38" t="s">
        <v>351</v>
      </c>
      <c r="I1083" s="282"/>
      <c r="J1083" s="282"/>
      <c r="K1083" s="282"/>
      <c r="L1083" s="34"/>
      <c r="M1083" s="34"/>
      <c r="N1083" s="410"/>
      <c r="O1083" s="196"/>
      <c r="P1083" s="412"/>
      <c r="Q1083" s="194"/>
      <c r="R1083" s="194"/>
    </row>
    <row r="1084" spans="1:18" ht="20.100000000000001" hidden="1" customHeight="1" x14ac:dyDescent="0.25">
      <c r="A1084" s="174"/>
      <c r="B1084" s="174"/>
      <c r="C1084" s="174"/>
      <c r="D1084" s="174"/>
      <c r="E1084" s="171" t="s">
        <v>312</v>
      </c>
      <c r="F1084" s="38"/>
      <c r="G1084" s="181" t="s">
        <v>466</v>
      </c>
      <c r="H1084" s="38" t="s">
        <v>105</v>
      </c>
      <c r="I1084" s="282"/>
      <c r="J1084" s="282"/>
      <c r="K1084" s="282"/>
      <c r="L1084" s="34"/>
      <c r="M1084" s="34"/>
      <c r="N1084" s="410"/>
      <c r="O1084" s="196"/>
      <c r="P1084" s="412"/>
      <c r="Q1084" s="194"/>
      <c r="R1084" s="194"/>
    </row>
    <row r="1085" spans="1:18" ht="20.100000000000001" hidden="1" customHeight="1" x14ac:dyDescent="0.25">
      <c r="A1085" s="174"/>
      <c r="B1085" s="174"/>
      <c r="C1085" s="174"/>
      <c r="D1085" s="174"/>
      <c r="E1085" s="171"/>
      <c r="F1085" s="38" t="s">
        <v>313</v>
      </c>
      <c r="G1085" s="181" t="s">
        <v>466</v>
      </c>
      <c r="H1085" s="38" t="s">
        <v>105</v>
      </c>
      <c r="I1085" s="282"/>
      <c r="J1085" s="282"/>
      <c r="K1085" s="282"/>
      <c r="L1085" s="34"/>
      <c r="M1085" s="34"/>
      <c r="N1085" s="410"/>
      <c r="O1085" s="196"/>
      <c r="P1085" s="412"/>
      <c r="Q1085" s="194"/>
      <c r="R1085" s="194"/>
    </row>
    <row r="1086" spans="1:18" ht="27" hidden="1" customHeight="1" x14ac:dyDescent="0.25">
      <c r="A1086" s="174"/>
      <c r="B1086" s="174"/>
      <c r="C1086" s="174"/>
      <c r="D1086" s="174">
        <v>3212</v>
      </c>
      <c r="E1086" s="174"/>
      <c r="F1086" s="44"/>
      <c r="G1086" s="181" t="s">
        <v>466</v>
      </c>
      <c r="H1086" s="38" t="s">
        <v>25</v>
      </c>
      <c r="I1086" s="282"/>
      <c r="J1086" s="282"/>
      <c r="K1086" s="282"/>
      <c r="L1086" s="34"/>
      <c r="M1086" s="34"/>
      <c r="N1086" s="410"/>
      <c r="O1086" s="196"/>
      <c r="P1086" s="412"/>
      <c r="Q1086" s="194"/>
      <c r="R1086" s="194"/>
    </row>
    <row r="1087" spans="1:18" ht="20.100000000000001" hidden="1" customHeight="1" x14ac:dyDescent="0.25">
      <c r="A1087" s="174"/>
      <c r="B1087" s="174"/>
      <c r="C1087" s="174"/>
      <c r="D1087" s="174"/>
      <c r="E1087" s="171" t="s">
        <v>314</v>
      </c>
      <c r="F1087" s="38"/>
      <c r="G1087" s="181" t="s">
        <v>466</v>
      </c>
      <c r="H1087" s="38" t="s">
        <v>106</v>
      </c>
      <c r="I1087" s="282"/>
      <c r="J1087" s="282"/>
      <c r="K1087" s="282"/>
      <c r="L1087" s="34"/>
      <c r="M1087" s="34"/>
      <c r="N1087" s="410"/>
      <c r="O1087" s="196"/>
      <c r="P1087" s="412"/>
      <c r="Q1087" s="194"/>
      <c r="R1087" s="194"/>
    </row>
    <row r="1088" spans="1:18" ht="20.100000000000001" hidden="1" customHeight="1" x14ac:dyDescent="0.25">
      <c r="A1088" s="174"/>
      <c r="B1088" s="174"/>
      <c r="C1088" s="174"/>
      <c r="D1088" s="174"/>
      <c r="E1088" s="171"/>
      <c r="F1088" s="38" t="s">
        <v>315</v>
      </c>
      <c r="G1088" s="181" t="s">
        <v>466</v>
      </c>
      <c r="H1088" s="38" t="s">
        <v>106</v>
      </c>
      <c r="I1088" s="282"/>
      <c r="J1088" s="282"/>
      <c r="K1088" s="282"/>
      <c r="L1088" s="34"/>
      <c r="M1088" s="34"/>
      <c r="N1088" s="410"/>
      <c r="O1088" s="196"/>
      <c r="P1088" s="412"/>
      <c r="Q1088" s="194"/>
      <c r="R1088" s="194"/>
    </row>
    <row r="1089" spans="1:18" ht="20.100000000000001" hidden="1" customHeight="1" x14ac:dyDescent="0.25">
      <c r="A1089" s="174"/>
      <c r="B1089" s="174"/>
      <c r="C1089" s="174"/>
      <c r="D1089" s="174"/>
      <c r="E1089" s="171" t="s">
        <v>316</v>
      </c>
      <c r="F1089" s="38"/>
      <c r="G1089" s="181" t="s">
        <v>466</v>
      </c>
      <c r="H1089" s="38" t="s">
        <v>317</v>
      </c>
      <c r="I1089" s="282"/>
      <c r="J1089" s="282"/>
      <c r="K1089" s="282"/>
      <c r="L1089" s="34"/>
      <c r="M1089" s="34"/>
      <c r="N1089" s="410"/>
      <c r="O1089" s="196"/>
      <c r="P1089" s="412"/>
      <c r="Q1089" s="194"/>
      <c r="R1089" s="194"/>
    </row>
    <row r="1090" spans="1:18" ht="20.100000000000001" hidden="1" customHeight="1" x14ac:dyDescent="0.25">
      <c r="A1090" s="174"/>
      <c r="B1090" s="174"/>
      <c r="C1090" s="174"/>
      <c r="D1090" s="174"/>
      <c r="E1090" s="171"/>
      <c r="F1090" s="38" t="s">
        <v>318</v>
      </c>
      <c r="G1090" s="181" t="s">
        <v>466</v>
      </c>
      <c r="H1090" s="38" t="s">
        <v>317</v>
      </c>
      <c r="I1090" s="282"/>
      <c r="J1090" s="282"/>
      <c r="K1090" s="282"/>
      <c r="L1090" s="34"/>
      <c r="M1090" s="34"/>
      <c r="N1090" s="410"/>
      <c r="O1090" s="196"/>
      <c r="P1090" s="412"/>
      <c r="Q1090" s="194"/>
      <c r="R1090" s="194"/>
    </row>
    <row r="1091" spans="1:18" ht="20.100000000000001" hidden="1" customHeight="1" x14ac:dyDescent="0.25">
      <c r="A1091" s="174"/>
      <c r="B1091" s="174"/>
      <c r="C1091" s="174"/>
      <c r="D1091" s="174">
        <v>3213</v>
      </c>
      <c r="E1091" s="174"/>
      <c r="F1091" s="44"/>
      <c r="G1091" s="181" t="s">
        <v>466</v>
      </c>
      <c r="H1091" s="38" t="s">
        <v>26</v>
      </c>
      <c r="I1091" s="282">
        <f t="shared" ref="I1091:M1092" si="193">I1092</f>
        <v>200</v>
      </c>
      <c r="J1091" s="282">
        <f t="shared" si="193"/>
        <v>-200</v>
      </c>
      <c r="K1091" s="282">
        <f t="shared" si="193"/>
        <v>0</v>
      </c>
      <c r="L1091" s="34">
        <f t="shared" si="193"/>
        <v>2000</v>
      </c>
      <c r="M1091" s="34">
        <f t="shared" si="193"/>
        <v>2000</v>
      </c>
      <c r="N1091" s="410"/>
      <c r="O1091" s="196"/>
      <c r="P1091" s="412"/>
      <c r="Q1091" s="194"/>
      <c r="R1091" s="194"/>
    </row>
    <row r="1092" spans="1:18" ht="20.100000000000001" hidden="1" customHeight="1" x14ac:dyDescent="0.25">
      <c r="A1092" s="174"/>
      <c r="B1092" s="174"/>
      <c r="C1092" s="174"/>
      <c r="D1092" s="174"/>
      <c r="E1092" s="171" t="s">
        <v>108</v>
      </c>
      <c r="F1092" s="38"/>
      <c r="G1092" s="181" t="s">
        <v>466</v>
      </c>
      <c r="H1092" s="38" t="s">
        <v>109</v>
      </c>
      <c r="I1092" s="282">
        <f t="shared" si="193"/>
        <v>200</v>
      </c>
      <c r="J1092" s="282">
        <f t="shared" si="193"/>
        <v>-200</v>
      </c>
      <c r="K1092" s="282">
        <f t="shared" si="193"/>
        <v>0</v>
      </c>
      <c r="L1092" s="34">
        <f t="shared" si="193"/>
        <v>2000</v>
      </c>
      <c r="M1092" s="34">
        <f t="shared" si="193"/>
        <v>2000</v>
      </c>
      <c r="N1092" s="410"/>
      <c r="O1092" s="196"/>
      <c r="P1092" s="412"/>
      <c r="Q1092" s="194"/>
      <c r="R1092" s="194"/>
    </row>
    <row r="1093" spans="1:18" ht="20.100000000000001" hidden="1" customHeight="1" x14ac:dyDescent="0.25">
      <c r="A1093" s="174"/>
      <c r="B1093" s="174"/>
      <c r="C1093" s="174"/>
      <c r="D1093" s="174"/>
      <c r="E1093" s="171"/>
      <c r="F1093" s="38" t="s">
        <v>110</v>
      </c>
      <c r="G1093" s="181" t="s">
        <v>466</v>
      </c>
      <c r="H1093" s="38" t="s">
        <v>319</v>
      </c>
      <c r="I1093" s="282">
        <v>200</v>
      </c>
      <c r="J1093" s="282">
        <f>K1093-I1093</f>
        <v>-200</v>
      </c>
      <c r="K1093" s="282">
        <v>0</v>
      </c>
      <c r="L1093" s="34">
        <v>2000</v>
      </c>
      <c r="M1093" s="34">
        <v>2000</v>
      </c>
      <c r="N1093" s="410"/>
      <c r="O1093" s="196"/>
      <c r="P1093" s="412"/>
      <c r="Q1093" s="194"/>
      <c r="R1093" s="194"/>
    </row>
    <row r="1094" spans="1:18" ht="20.100000000000001" hidden="1" customHeight="1" x14ac:dyDescent="0.25">
      <c r="A1094" s="174"/>
      <c r="B1094" s="174"/>
      <c r="C1094" s="174"/>
      <c r="D1094" s="174"/>
      <c r="E1094" s="171"/>
      <c r="F1094" s="38" t="s">
        <v>112</v>
      </c>
      <c r="G1094" s="181" t="s">
        <v>466</v>
      </c>
      <c r="H1094" s="38" t="s">
        <v>320</v>
      </c>
      <c r="I1094" s="282"/>
      <c r="J1094" s="282"/>
      <c r="K1094" s="282"/>
      <c r="L1094" s="31"/>
      <c r="M1094" s="31"/>
      <c r="N1094" s="410"/>
      <c r="O1094" s="196"/>
      <c r="P1094" s="412"/>
      <c r="Q1094" s="194"/>
      <c r="R1094" s="194"/>
    </row>
    <row r="1095" spans="1:18" ht="20.100000000000001" hidden="1" customHeight="1" x14ac:dyDescent="0.25">
      <c r="A1095" s="174"/>
      <c r="B1095" s="174"/>
      <c r="C1095" s="174"/>
      <c r="D1095" s="174"/>
      <c r="E1095" s="171" t="s">
        <v>114</v>
      </c>
      <c r="F1095" s="38"/>
      <c r="G1095" s="181" t="s">
        <v>466</v>
      </c>
      <c r="H1095" s="38" t="s">
        <v>115</v>
      </c>
      <c r="I1095" s="282"/>
      <c r="J1095" s="282"/>
      <c r="K1095" s="282"/>
      <c r="L1095" s="31"/>
      <c r="M1095" s="31"/>
      <c r="N1095" s="410"/>
      <c r="O1095" s="196"/>
      <c r="P1095" s="412"/>
      <c r="Q1095" s="194"/>
      <c r="R1095" s="194"/>
    </row>
    <row r="1096" spans="1:18" ht="20.100000000000001" hidden="1" customHeight="1" x14ac:dyDescent="0.25">
      <c r="A1096" s="174"/>
      <c r="B1096" s="174"/>
      <c r="C1096" s="174"/>
      <c r="D1096" s="174"/>
      <c r="E1096" s="171"/>
      <c r="F1096" s="38" t="s">
        <v>116</v>
      </c>
      <c r="G1096" s="181" t="s">
        <v>466</v>
      </c>
      <c r="H1096" s="38" t="s">
        <v>115</v>
      </c>
      <c r="I1096" s="282"/>
      <c r="J1096" s="282"/>
      <c r="K1096" s="282"/>
      <c r="L1096" s="31"/>
      <c r="M1096" s="31"/>
      <c r="N1096" s="410"/>
      <c r="O1096" s="196"/>
      <c r="P1096" s="412"/>
      <c r="Q1096" s="194"/>
      <c r="R1096" s="194"/>
    </row>
    <row r="1097" spans="1:18" s="150" customFormat="1" ht="20.100000000000001" hidden="1" customHeight="1" x14ac:dyDescent="0.25">
      <c r="A1097" s="176"/>
      <c r="B1097" s="176"/>
      <c r="C1097" s="172">
        <v>322</v>
      </c>
      <c r="D1097" s="172"/>
      <c r="E1097" s="172"/>
      <c r="F1097" s="42"/>
      <c r="G1097" s="181" t="s">
        <v>466</v>
      </c>
      <c r="H1097" s="43" t="s">
        <v>27</v>
      </c>
      <c r="I1097" s="281">
        <f>I1098+I1108+I1113</f>
        <v>2680</v>
      </c>
      <c r="J1097" s="281">
        <f>J1098+J1108+J1113</f>
        <v>-200</v>
      </c>
      <c r="K1097" s="281">
        <f>K1098+K1108+K1113</f>
        <v>2480</v>
      </c>
      <c r="L1097" s="148">
        <f>L1098+L1108+L1113</f>
        <v>18500</v>
      </c>
      <c r="M1097" s="148">
        <f>M1098+M1108+M1113</f>
        <v>18500</v>
      </c>
      <c r="N1097" s="410"/>
      <c r="O1097" s="196"/>
      <c r="P1097" s="270"/>
      <c r="Q1097" s="149"/>
      <c r="R1097" s="149"/>
    </row>
    <row r="1098" spans="1:18" ht="20.100000000000001" hidden="1" customHeight="1" x14ac:dyDescent="0.25">
      <c r="A1098" s="174"/>
      <c r="B1098" s="174"/>
      <c r="C1098" s="174"/>
      <c r="D1098" s="174">
        <v>3221</v>
      </c>
      <c r="E1098" s="174"/>
      <c r="F1098" s="44"/>
      <c r="G1098" s="181" t="s">
        <v>466</v>
      </c>
      <c r="H1098" s="38" t="s">
        <v>117</v>
      </c>
      <c r="I1098" s="282">
        <f>I1099+I1104+I1106</f>
        <v>720</v>
      </c>
      <c r="J1098" s="282">
        <f>J1099+J1104+J1106</f>
        <v>0</v>
      </c>
      <c r="K1098" s="282">
        <f>K1099+K1104+K1106</f>
        <v>720</v>
      </c>
      <c r="L1098" s="34">
        <f>L1099+L1104+L1106</f>
        <v>6000</v>
      </c>
      <c r="M1098" s="34">
        <f>M1099+M1104+M1106</f>
        <v>6000</v>
      </c>
      <c r="N1098" s="410"/>
      <c r="O1098" s="196"/>
    </row>
    <row r="1099" spans="1:18" ht="20.100000000000001" hidden="1" customHeight="1" x14ac:dyDescent="0.25">
      <c r="A1099" s="174"/>
      <c r="B1099" s="174"/>
      <c r="C1099" s="174"/>
      <c r="D1099" s="174"/>
      <c r="E1099" s="171" t="s">
        <v>118</v>
      </c>
      <c r="F1099" s="38"/>
      <c r="G1099" s="181" t="s">
        <v>466</v>
      </c>
      <c r="H1099" s="38" t="s">
        <v>119</v>
      </c>
      <c r="I1099" s="282">
        <f>I1101+I1100</f>
        <v>260</v>
      </c>
      <c r="J1099" s="282">
        <f>J1101+J1100</f>
        <v>0</v>
      </c>
      <c r="K1099" s="282">
        <f>K1101+K1100</f>
        <v>260</v>
      </c>
      <c r="L1099" s="34">
        <f>L1100+L1101</f>
        <v>3000</v>
      </c>
      <c r="M1099" s="34">
        <f>M1100+M1101</f>
        <v>3000</v>
      </c>
      <c r="N1099" s="410"/>
      <c r="O1099" s="196"/>
    </row>
    <row r="1100" spans="1:18" ht="20.100000000000001" hidden="1" customHeight="1" x14ac:dyDescent="0.25">
      <c r="A1100" s="174"/>
      <c r="B1100" s="174"/>
      <c r="C1100" s="174"/>
      <c r="D1100" s="174"/>
      <c r="E1100" s="171"/>
      <c r="F1100" s="38" t="s">
        <v>120</v>
      </c>
      <c r="G1100" s="181" t="s">
        <v>466</v>
      </c>
      <c r="H1100" s="38" t="s">
        <v>119</v>
      </c>
      <c r="I1100" s="282">
        <v>130</v>
      </c>
      <c r="J1100" s="282">
        <f>K1100-I1100</f>
        <v>0</v>
      </c>
      <c r="K1100" s="282">
        <v>130</v>
      </c>
      <c r="L1100" s="34">
        <v>1000</v>
      </c>
      <c r="M1100" s="34">
        <v>1000</v>
      </c>
      <c r="N1100" s="410"/>
      <c r="O1100" s="196"/>
    </row>
    <row r="1101" spans="1:18" ht="20.100000000000001" hidden="1" customHeight="1" x14ac:dyDescent="0.25">
      <c r="A1101" s="174"/>
      <c r="B1101" s="174"/>
      <c r="C1101" s="174"/>
      <c r="D1101" s="174"/>
      <c r="E1101" s="171"/>
      <c r="F1101" s="38" t="s">
        <v>121</v>
      </c>
      <c r="G1101" s="181" t="s">
        <v>466</v>
      </c>
      <c r="H1101" s="38" t="s">
        <v>122</v>
      </c>
      <c r="I1101" s="282">
        <v>130</v>
      </c>
      <c r="J1101" s="282">
        <f>K1101-I1101</f>
        <v>0</v>
      </c>
      <c r="K1101" s="282">
        <v>130</v>
      </c>
      <c r="L1101" s="34">
        <v>2000</v>
      </c>
      <c r="M1101" s="34">
        <v>2000</v>
      </c>
      <c r="N1101" s="410"/>
      <c r="O1101" s="196"/>
    </row>
    <row r="1102" spans="1:18" ht="30" hidden="1" customHeight="1" x14ac:dyDescent="0.25">
      <c r="A1102" s="174"/>
      <c r="B1102" s="174"/>
      <c r="C1102" s="174"/>
      <c r="D1102" s="174"/>
      <c r="E1102" s="171" t="s">
        <v>123</v>
      </c>
      <c r="F1102" s="38"/>
      <c r="G1102" s="181" t="s">
        <v>466</v>
      </c>
      <c r="H1102" s="38" t="s">
        <v>124</v>
      </c>
      <c r="I1102" s="282"/>
      <c r="J1102" s="282"/>
      <c r="K1102" s="282"/>
      <c r="L1102" s="34"/>
      <c r="M1102" s="34"/>
      <c r="N1102" s="410"/>
      <c r="O1102" s="196"/>
    </row>
    <row r="1103" spans="1:18" ht="30" hidden="1" customHeight="1" x14ac:dyDescent="0.25">
      <c r="A1103" s="174"/>
      <c r="B1103" s="174"/>
      <c r="C1103" s="174"/>
      <c r="D1103" s="174"/>
      <c r="E1103" s="171"/>
      <c r="F1103" s="38" t="s">
        <v>125</v>
      </c>
      <c r="G1103" s="181" t="s">
        <v>466</v>
      </c>
      <c r="H1103" s="38" t="s">
        <v>124</v>
      </c>
      <c r="I1103" s="282"/>
      <c r="J1103" s="282"/>
      <c r="K1103" s="282"/>
      <c r="L1103" s="34"/>
      <c r="M1103" s="34"/>
      <c r="N1103" s="410"/>
      <c r="O1103" s="196"/>
    </row>
    <row r="1104" spans="1:18" ht="31.5" hidden="1" customHeight="1" x14ac:dyDescent="0.25">
      <c r="A1104" s="174"/>
      <c r="B1104" s="174"/>
      <c r="C1104" s="174"/>
      <c r="D1104" s="174"/>
      <c r="E1104" s="171" t="s">
        <v>126</v>
      </c>
      <c r="F1104" s="38"/>
      <c r="G1104" s="181" t="s">
        <v>466</v>
      </c>
      <c r="H1104" s="38" t="s">
        <v>127</v>
      </c>
      <c r="I1104" s="282">
        <f>I1105</f>
        <v>130</v>
      </c>
      <c r="J1104" s="282">
        <f>J1105</f>
        <v>0</v>
      </c>
      <c r="K1104" s="282">
        <f>K1105</f>
        <v>130</v>
      </c>
      <c r="L1104" s="34">
        <f>L1105</f>
        <v>500</v>
      </c>
      <c r="M1104" s="34">
        <f>M1105</f>
        <v>500</v>
      </c>
      <c r="N1104" s="410"/>
      <c r="O1104" s="196"/>
      <c r="P1104" s="412"/>
      <c r="Q1104" s="194"/>
      <c r="R1104" s="194"/>
    </row>
    <row r="1105" spans="1:18" ht="20.100000000000001" hidden="1" customHeight="1" x14ac:dyDescent="0.25">
      <c r="A1105" s="174"/>
      <c r="B1105" s="174"/>
      <c r="C1105" s="174"/>
      <c r="D1105" s="174"/>
      <c r="E1105" s="171"/>
      <c r="F1105" s="38" t="s">
        <v>128</v>
      </c>
      <c r="G1105" s="181" t="s">
        <v>466</v>
      </c>
      <c r="H1105" s="38" t="s">
        <v>127</v>
      </c>
      <c r="I1105" s="282">
        <v>130</v>
      </c>
      <c r="J1105" s="282">
        <f>K1105-I1105</f>
        <v>0</v>
      </c>
      <c r="K1105" s="282">
        <v>130</v>
      </c>
      <c r="L1105" s="34">
        <v>500</v>
      </c>
      <c r="M1105" s="34">
        <v>500</v>
      </c>
      <c r="N1105" s="410"/>
      <c r="O1105" s="196"/>
      <c r="P1105" s="412"/>
      <c r="Q1105" s="194"/>
      <c r="R1105" s="194"/>
    </row>
    <row r="1106" spans="1:18" ht="20.100000000000001" hidden="1" customHeight="1" x14ac:dyDescent="0.25">
      <c r="A1106" s="174"/>
      <c r="B1106" s="174"/>
      <c r="C1106" s="174"/>
      <c r="D1106" s="174"/>
      <c r="E1106" s="171" t="s">
        <v>129</v>
      </c>
      <c r="F1106" s="38"/>
      <c r="G1106" s="181" t="s">
        <v>466</v>
      </c>
      <c r="H1106" s="38" t="s">
        <v>130</v>
      </c>
      <c r="I1106" s="282">
        <f>I1107</f>
        <v>330</v>
      </c>
      <c r="J1106" s="282">
        <f>J1107</f>
        <v>0</v>
      </c>
      <c r="K1106" s="282">
        <f>K1107</f>
        <v>330</v>
      </c>
      <c r="L1106" s="34">
        <v>2500</v>
      </c>
      <c r="M1106" s="34">
        <v>2500</v>
      </c>
      <c r="N1106" s="410"/>
      <c r="O1106" s="196"/>
      <c r="P1106" s="412"/>
      <c r="Q1106" s="194"/>
      <c r="R1106" s="194"/>
    </row>
    <row r="1107" spans="1:18" ht="20.100000000000001" hidden="1" customHeight="1" x14ac:dyDescent="0.25">
      <c r="A1107" s="174"/>
      <c r="B1107" s="174"/>
      <c r="C1107" s="174"/>
      <c r="D1107" s="174"/>
      <c r="E1107" s="171"/>
      <c r="F1107" s="38" t="s">
        <v>131</v>
      </c>
      <c r="G1107" s="181" t="s">
        <v>466</v>
      </c>
      <c r="H1107" s="38" t="s">
        <v>130</v>
      </c>
      <c r="I1107" s="282">
        <v>330</v>
      </c>
      <c r="J1107" s="282">
        <f>K1107-I1107</f>
        <v>0</v>
      </c>
      <c r="K1107" s="282">
        <v>330</v>
      </c>
      <c r="L1107" s="34">
        <v>2000</v>
      </c>
      <c r="M1107" s="34">
        <v>2000</v>
      </c>
      <c r="N1107" s="410"/>
      <c r="O1107" s="196"/>
      <c r="P1107" s="412"/>
      <c r="Q1107" s="194"/>
      <c r="R1107" s="194"/>
    </row>
    <row r="1108" spans="1:18" ht="20.100000000000001" hidden="1" customHeight="1" x14ac:dyDescent="0.25">
      <c r="A1108" s="174"/>
      <c r="B1108" s="174"/>
      <c r="C1108" s="174"/>
      <c r="D1108" s="174">
        <v>3222</v>
      </c>
      <c r="E1108" s="174"/>
      <c r="F1108" s="44"/>
      <c r="G1108" s="181" t="s">
        <v>466</v>
      </c>
      <c r="H1108" s="38" t="s">
        <v>29</v>
      </c>
      <c r="I1108" s="282">
        <f>I1109+I1111</f>
        <v>260</v>
      </c>
      <c r="J1108" s="282">
        <f>J1109+J1111</f>
        <v>-200</v>
      </c>
      <c r="K1108" s="282">
        <f>K1109+K1111</f>
        <v>60</v>
      </c>
      <c r="L1108" s="34">
        <f>L1109+L1111</f>
        <v>4000</v>
      </c>
      <c r="M1108" s="34">
        <f>M1109+M1111</f>
        <v>4000</v>
      </c>
      <c r="N1108" s="410"/>
      <c r="O1108" s="196"/>
      <c r="P1108" s="412"/>
      <c r="Q1108" s="194"/>
      <c r="R1108" s="194"/>
    </row>
    <row r="1109" spans="1:18" ht="20.100000000000001" hidden="1" customHeight="1" x14ac:dyDescent="0.25">
      <c r="A1109" s="174"/>
      <c r="B1109" s="174"/>
      <c r="C1109" s="174"/>
      <c r="D1109" s="174"/>
      <c r="E1109" s="171" t="s">
        <v>135</v>
      </c>
      <c r="F1109" s="38"/>
      <c r="G1109" s="181" t="s">
        <v>466</v>
      </c>
      <c r="H1109" s="38" t="s">
        <v>136</v>
      </c>
      <c r="I1109" s="282">
        <f>I1110</f>
        <v>0</v>
      </c>
      <c r="J1109" s="282">
        <f>J1110</f>
        <v>0</v>
      </c>
      <c r="K1109" s="282">
        <f>K1110</f>
        <v>0</v>
      </c>
      <c r="L1109" s="34">
        <f>L1110</f>
        <v>500</v>
      </c>
      <c r="M1109" s="34">
        <f>M1110</f>
        <v>500</v>
      </c>
      <c r="N1109" s="410"/>
      <c r="O1109" s="196"/>
      <c r="P1109" s="412"/>
      <c r="Q1109" s="194"/>
      <c r="R1109" s="194"/>
    </row>
    <row r="1110" spans="1:18" ht="20.100000000000001" hidden="1" customHeight="1" x14ac:dyDescent="0.25">
      <c r="A1110" s="174"/>
      <c r="B1110" s="174"/>
      <c r="C1110" s="174"/>
      <c r="D1110" s="174"/>
      <c r="E1110" s="171"/>
      <c r="F1110" s="38" t="s">
        <v>137</v>
      </c>
      <c r="G1110" s="181" t="s">
        <v>466</v>
      </c>
      <c r="H1110" s="38" t="s">
        <v>136</v>
      </c>
      <c r="I1110" s="282">
        <v>0</v>
      </c>
      <c r="J1110" s="282">
        <f>K1110-I1110</f>
        <v>0</v>
      </c>
      <c r="K1110" s="282">
        <v>0</v>
      </c>
      <c r="L1110" s="34">
        <v>500</v>
      </c>
      <c r="M1110" s="34">
        <v>500</v>
      </c>
      <c r="N1110" s="410"/>
      <c r="O1110" s="196"/>
      <c r="P1110" s="412"/>
      <c r="Q1110" s="194"/>
      <c r="R1110" s="194"/>
    </row>
    <row r="1111" spans="1:18" ht="20.100000000000001" hidden="1" customHeight="1" x14ac:dyDescent="0.25">
      <c r="A1111" s="174"/>
      <c r="B1111" s="174"/>
      <c r="C1111" s="174"/>
      <c r="D1111" s="174"/>
      <c r="E1111" s="171" t="s">
        <v>138</v>
      </c>
      <c r="F1111" s="38"/>
      <c r="G1111" s="181" t="s">
        <v>466</v>
      </c>
      <c r="H1111" s="38" t="s">
        <v>139</v>
      </c>
      <c r="I1111" s="282">
        <f>I1112</f>
        <v>260</v>
      </c>
      <c r="J1111" s="282">
        <f>J1112</f>
        <v>-200</v>
      </c>
      <c r="K1111" s="282">
        <f>K1112</f>
        <v>60</v>
      </c>
      <c r="L1111" s="34">
        <f>L1112</f>
        <v>3500</v>
      </c>
      <c r="M1111" s="34">
        <f>M1112</f>
        <v>3500</v>
      </c>
      <c r="N1111" s="410"/>
      <c r="O1111" s="196"/>
      <c r="P1111" s="412"/>
      <c r="Q1111" s="194"/>
      <c r="R1111" s="194"/>
    </row>
    <row r="1112" spans="1:18" ht="20.100000000000001" hidden="1" customHeight="1" x14ac:dyDescent="0.25">
      <c r="A1112" s="174"/>
      <c r="B1112" s="174"/>
      <c r="C1112" s="174"/>
      <c r="D1112" s="174"/>
      <c r="E1112" s="171"/>
      <c r="F1112" s="38" t="s">
        <v>140</v>
      </c>
      <c r="G1112" s="181" t="s">
        <v>466</v>
      </c>
      <c r="H1112" s="38" t="s">
        <v>139</v>
      </c>
      <c r="I1112" s="282">
        <v>260</v>
      </c>
      <c r="J1112" s="282">
        <f>K1112-I1112</f>
        <v>-200</v>
      </c>
      <c r="K1112" s="282">
        <v>60</v>
      </c>
      <c r="L1112" s="34">
        <v>3500</v>
      </c>
      <c r="M1112" s="34">
        <v>3500</v>
      </c>
      <c r="N1112" s="410"/>
      <c r="O1112" s="196"/>
      <c r="P1112" s="412"/>
      <c r="Q1112" s="194"/>
      <c r="R1112" s="194"/>
    </row>
    <row r="1113" spans="1:18" ht="20.100000000000001" hidden="1" customHeight="1" x14ac:dyDescent="0.25">
      <c r="A1113" s="174"/>
      <c r="B1113" s="174"/>
      <c r="C1113" s="174"/>
      <c r="D1113" s="174">
        <v>3223</v>
      </c>
      <c r="E1113" s="174"/>
      <c r="F1113" s="44"/>
      <c r="G1113" s="181" t="s">
        <v>466</v>
      </c>
      <c r="H1113" s="53" t="s">
        <v>30</v>
      </c>
      <c r="I1113" s="282">
        <f>I1114+I1117+I1119</f>
        <v>1700</v>
      </c>
      <c r="J1113" s="282">
        <f>J1114+J1117+J1119</f>
        <v>0</v>
      </c>
      <c r="K1113" s="282">
        <f>K1114+K1117+K1119</f>
        <v>1700</v>
      </c>
      <c r="L1113" s="34">
        <f>L1114+L1117</f>
        <v>8500</v>
      </c>
      <c r="M1113" s="34">
        <f>M1114+M1117</f>
        <v>8500</v>
      </c>
      <c r="N1113" s="410"/>
      <c r="O1113" s="196"/>
      <c r="P1113" s="412"/>
      <c r="Q1113" s="194"/>
      <c r="R1113" s="194"/>
    </row>
    <row r="1114" spans="1:18" ht="20.100000000000001" hidden="1" customHeight="1" x14ac:dyDescent="0.25">
      <c r="A1114" s="174"/>
      <c r="B1114" s="174"/>
      <c r="C1114" s="174"/>
      <c r="D1114" s="174"/>
      <c r="E1114" s="171" t="s">
        <v>141</v>
      </c>
      <c r="F1114" s="38"/>
      <c r="G1114" s="181" t="s">
        <v>466</v>
      </c>
      <c r="H1114" s="38" t="s">
        <v>142</v>
      </c>
      <c r="I1114" s="282">
        <f>I1115+I1116</f>
        <v>1100</v>
      </c>
      <c r="J1114" s="282">
        <f>J1115+J1116</f>
        <v>0</v>
      </c>
      <c r="K1114" s="282">
        <f>K1115+K1116</f>
        <v>1100</v>
      </c>
      <c r="L1114" s="34">
        <f>L1115+L1116</f>
        <v>4000</v>
      </c>
      <c r="M1114" s="34">
        <f>M1115+M1116</f>
        <v>4000</v>
      </c>
      <c r="N1114" s="410"/>
      <c r="O1114" s="196"/>
      <c r="P1114" s="412"/>
      <c r="Q1114" s="194"/>
      <c r="R1114" s="194"/>
    </row>
    <row r="1115" spans="1:18" ht="20.100000000000001" hidden="1" customHeight="1" x14ac:dyDescent="0.25">
      <c r="A1115" s="174"/>
      <c r="B1115" s="174"/>
      <c r="C1115" s="174"/>
      <c r="D1115" s="174"/>
      <c r="E1115" s="171"/>
      <c r="F1115" s="38" t="s">
        <v>143</v>
      </c>
      <c r="G1115" s="181" t="s">
        <v>466</v>
      </c>
      <c r="H1115" s="38" t="s">
        <v>142</v>
      </c>
      <c r="I1115" s="282">
        <v>500</v>
      </c>
      <c r="J1115" s="282">
        <f>K1115-I1115</f>
        <v>0</v>
      </c>
      <c r="K1115" s="282">
        <v>500</v>
      </c>
      <c r="L1115" s="34">
        <v>2000</v>
      </c>
      <c r="M1115" s="34">
        <v>2000</v>
      </c>
      <c r="N1115" s="410"/>
      <c r="O1115" s="196"/>
      <c r="P1115" s="412"/>
      <c r="Q1115" s="194"/>
      <c r="R1115" s="194"/>
    </row>
    <row r="1116" spans="1:18" ht="20.100000000000001" hidden="1" customHeight="1" x14ac:dyDescent="0.25">
      <c r="A1116" s="174"/>
      <c r="B1116" s="174"/>
      <c r="C1116" s="174"/>
      <c r="D1116" s="174"/>
      <c r="E1116" s="171"/>
      <c r="F1116" s="38" t="s">
        <v>144</v>
      </c>
      <c r="G1116" s="181" t="s">
        <v>466</v>
      </c>
      <c r="H1116" s="38" t="s">
        <v>322</v>
      </c>
      <c r="I1116" s="282">
        <v>600</v>
      </c>
      <c r="J1116" s="282">
        <f>K1116-I1116</f>
        <v>0</v>
      </c>
      <c r="K1116" s="282">
        <v>600</v>
      </c>
      <c r="L1116" s="34">
        <v>2000</v>
      </c>
      <c r="M1116" s="34">
        <v>2000</v>
      </c>
      <c r="N1116" s="410"/>
      <c r="O1116" s="196"/>
      <c r="P1116" s="412"/>
      <c r="Q1116" s="194"/>
      <c r="R1116" s="194"/>
    </row>
    <row r="1117" spans="1:18" ht="20.100000000000001" hidden="1" customHeight="1" x14ac:dyDescent="0.25">
      <c r="A1117" s="174"/>
      <c r="B1117" s="174"/>
      <c r="C1117" s="174"/>
      <c r="D1117" s="174"/>
      <c r="E1117" s="171" t="s">
        <v>146</v>
      </c>
      <c r="F1117" s="38"/>
      <c r="G1117" s="181" t="s">
        <v>466</v>
      </c>
      <c r="H1117" s="38" t="s">
        <v>147</v>
      </c>
      <c r="I1117" s="282">
        <f>I1118</f>
        <v>600</v>
      </c>
      <c r="J1117" s="282">
        <f>J1118</f>
        <v>0</v>
      </c>
      <c r="K1117" s="282">
        <f>K1118</f>
        <v>600</v>
      </c>
      <c r="L1117" s="34">
        <f>L1118</f>
        <v>4500</v>
      </c>
      <c r="M1117" s="34">
        <f>M1118</f>
        <v>4500</v>
      </c>
      <c r="N1117" s="410"/>
      <c r="O1117" s="196"/>
      <c r="P1117" s="412"/>
      <c r="Q1117" s="194"/>
      <c r="R1117" s="194"/>
    </row>
    <row r="1118" spans="1:18" ht="20.100000000000001" hidden="1" customHeight="1" x14ac:dyDescent="0.25">
      <c r="A1118" s="174"/>
      <c r="B1118" s="174"/>
      <c r="C1118" s="174"/>
      <c r="D1118" s="174"/>
      <c r="E1118" s="171"/>
      <c r="F1118" s="38" t="s">
        <v>148</v>
      </c>
      <c r="G1118" s="181" t="s">
        <v>466</v>
      </c>
      <c r="H1118" s="38" t="s">
        <v>147</v>
      </c>
      <c r="I1118" s="282">
        <v>600</v>
      </c>
      <c r="J1118" s="282">
        <f>K1118-I1118</f>
        <v>0</v>
      </c>
      <c r="K1118" s="282">
        <v>600</v>
      </c>
      <c r="L1118" s="34">
        <v>4500</v>
      </c>
      <c r="M1118" s="34">
        <v>4500</v>
      </c>
      <c r="N1118" s="410"/>
      <c r="O1118" s="196"/>
      <c r="P1118" s="412"/>
      <c r="Q1118" s="194"/>
      <c r="R1118" s="194"/>
    </row>
    <row r="1119" spans="1:18" ht="20.100000000000001" hidden="1" customHeight="1" x14ac:dyDescent="0.25">
      <c r="A1119" s="174"/>
      <c r="B1119" s="174"/>
      <c r="C1119" s="174"/>
      <c r="D1119" s="174"/>
      <c r="E1119" s="171" t="s">
        <v>149</v>
      </c>
      <c r="F1119" s="38"/>
      <c r="G1119" s="181" t="s">
        <v>466</v>
      </c>
      <c r="H1119" s="38" t="s">
        <v>150</v>
      </c>
      <c r="I1119" s="282">
        <f t="shared" ref="I1119:K1119" si="194">I1120</f>
        <v>0</v>
      </c>
      <c r="J1119" s="282">
        <f t="shared" si="194"/>
        <v>0</v>
      </c>
      <c r="K1119" s="282">
        <f t="shared" si="194"/>
        <v>0</v>
      </c>
      <c r="L1119" s="31"/>
      <c r="M1119" s="31"/>
      <c r="N1119" s="410"/>
      <c r="O1119" s="196"/>
      <c r="P1119" s="412"/>
      <c r="Q1119" s="194"/>
      <c r="R1119" s="194"/>
    </row>
    <row r="1120" spans="1:18" ht="20.100000000000001" hidden="1" customHeight="1" x14ac:dyDescent="0.25">
      <c r="A1120" s="174"/>
      <c r="B1120" s="174"/>
      <c r="C1120" s="174"/>
      <c r="D1120" s="174"/>
      <c r="E1120" s="171"/>
      <c r="F1120" s="38" t="s">
        <v>151</v>
      </c>
      <c r="G1120" s="181" t="s">
        <v>466</v>
      </c>
      <c r="H1120" s="38" t="s">
        <v>150</v>
      </c>
      <c r="I1120" s="282">
        <v>0</v>
      </c>
      <c r="J1120" s="282">
        <f>K1120-I1120</f>
        <v>0</v>
      </c>
      <c r="K1120" s="282">
        <v>0</v>
      </c>
      <c r="L1120" s="31"/>
      <c r="M1120" s="31"/>
      <c r="N1120" s="410"/>
      <c r="O1120" s="196"/>
    </row>
    <row r="1121" spans="1:18" s="150" customFormat="1" ht="20.100000000000001" hidden="1" customHeight="1" x14ac:dyDescent="0.25">
      <c r="A1121" s="176"/>
      <c r="B1121" s="176"/>
      <c r="C1121" s="172">
        <v>323</v>
      </c>
      <c r="D1121" s="172"/>
      <c r="E1121" s="172"/>
      <c r="F1121" s="42"/>
      <c r="G1121" s="181" t="s">
        <v>466</v>
      </c>
      <c r="H1121" s="43" t="s">
        <v>34</v>
      </c>
      <c r="I1121" s="281">
        <f>I1122+I1131+I1134+I1147+I1155+I1158</f>
        <v>4160</v>
      </c>
      <c r="J1121" s="281">
        <f>J1122+J1131+J1134+J1147+J1155+J1158</f>
        <v>260</v>
      </c>
      <c r="K1121" s="281">
        <f>K1122+K1131+K1134+K1147+K1155+K1158</f>
        <v>4420</v>
      </c>
      <c r="L1121" s="148">
        <f>L1122+L1131+L1134+L1147+L1155+L1158</f>
        <v>29700</v>
      </c>
      <c r="M1121" s="148">
        <f>M1122+M1131+M1134+M1147+M1155+M1158</f>
        <v>29700</v>
      </c>
      <c r="N1121" s="410"/>
      <c r="O1121" s="196"/>
      <c r="P1121" s="270"/>
      <c r="Q1121" s="149"/>
      <c r="R1121" s="149"/>
    </row>
    <row r="1122" spans="1:18" ht="20.100000000000001" hidden="1" customHeight="1" x14ac:dyDescent="0.25">
      <c r="A1122" s="174"/>
      <c r="B1122" s="174"/>
      <c r="C1122" s="174"/>
      <c r="D1122" s="175">
        <v>3231</v>
      </c>
      <c r="E1122" s="175"/>
      <c r="F1122" s="56"/>
      <c r="G1122" s="181" t="s">
        <v>466</v>
      </c>
      <c r="H1122" s="53" t="s">
        <v>166</v>
      </c>
      <c r="I1122" s="282">
        <f t="shared" ref="I1122:M1123" si="195">I1123</f>
        <v>470</v>
      </c>
      <c r="J1122" s="282">
        <f t="shared" si="195"/>
        <v>0</v>
      </c>
      <c r="K1122" s="282">
        <f t="shared" si="195"/>
        <v>470</v>
      </c>
      <c r="L1122" s="34">
        <f t="shared" si="195"/>
        <v>3500</v>
      </c>
      <c r="M1122" s="34">
        <f t="shared" si="195"/>
        <v>3500</v>
      </c>
      <c r="N1122" s="410"/>
      <c r="O1122" s="196"/>
    </row>
    <row r="1123" spans="1:18" ht="20.100000000000001" hidden="1" customHeight="1" x14ac:dyDescent="0.25">
      <c r="A1123" s="174"/>
      <c r="B1123" s="174"/>
      <c r="C1123" s="174"/>
      <c r="D1123" s="175"/>
      <c r="E1123" s="171" t="s">
        <v>167</v>
      </c>
      <c r="F1123" s="38"/>
      <c r="G1123" s="181" t="s">
        <v>466</v>
      </c>
      <c r="H1123" s="38" t="s">
        <v>168</v>
      </c>
      <c r="I1123" s="282">
        <f t="shared" si="195"/>
        <v>470</v>
      </c>
      <c r="J1123" s="282">
        <f t="shared" si="195"/>
        <v>0</v>
      </c>
      <c r="K1123" s="282">
        <f t="shared" si="195"/>
        <v>470</v>
      </c>
      <c r="L1123" s="34">
        <f t="shared" si="195"/>
        <v>3500</v>
      </c>
      <c r="M1123" s="34">
        <f t="shared" si="195"/>
        <v>3500</v>
      </c>
      <c r="N1123" s="410"/>
      <c r="O1123" s="196"/>
    </row>
    <row r="1124" spans="1:18" ht="20.100000000000001" hidden="1" customHeight="1" x14ac:dyDescent="0.25">
      <c r="A1124" s="174"/>
      <c r="B1124" s="174"/>
      <c r="C1124" s="174"/>
      <c r="D1124" s="175"/>
      <c r="E1124" s="171"/>
      <c r="F1124" s="38" t="s">
        <v>169</v>
      </c>
      <c r="G1124" s="181" t="s">
        <v>466</v>
      </c>
      <c r="H1124" s="38" t="s">
        <v>168</v>
      </c>
      <c r="I1124" s="282">
        <v>470</v>
      </c>
      <c r="J1124" s="282">
        <f>K1124-I1124</f>
        <v>0</v>
      </c>
      <c r="K1124" s="282">
        <v>470</v>
      </c>
      <c r="L1124" s="34">
        <v>3500</v>
      </c>
      <c r="M1124" s="34">
        <v>3500</v>
      </c>
      <c r="N1124" s="410"/>
      <c r="O1124" s="196"/>
    </row>
    <row r="1125" spans="1:18" ht="20.100000000000001" hidden="1" customHeight="1" x14ac:dyDescent="0.25">
      <c r="A1125" s="174"/>
      <c r="B1125" s="174"/>
      <c r="C1125" s="174"/>
      <c r="D1125" s="175"/>
      <c r="E1125" s="171" t="s">
        <v>170</v>
      </c>
      <c r="F1125" s="38"/>
      <c r="G1125" s="181" t="s">
        <v>466</v>
      </c>
      <c r="H1125" s="38" t="s">
        <v>171</v>
      </c>
      <c r="I1125" s="282"/>
      <c r="J1125" s="282"/>
      <c r="K1125" s="282"/>
      <c r="L1125" s="34"/>
      <c r="M1125" s="34"/>
      <c r="N1125" s="410"/>
      <c r="O1125" s="196"/>
      <c r="P1125" s="412"/>
      <c r="Q1125" s="194"/>
      <c r="R1125" s="194"/>
    </row>
    <row r="1126" spans="1:18" ht="20.100000000000001" hidden="1" customHeight="1" x14ac:dyDescent="0.25">
      <c r="A1126" s="174"/>
      <c r="B1126" s="174"/>
      <c r="C1126" s="174"/>
      <c r="D1126" s="175"/>
      <c r="E1126" s="171"/>
      <c r="F1126" s="38" t="s">
        <v>172</v>
      </c>
      <c r="G1126" s="181" t="s">
        <v>466</v>
      </c>
      <c r="H1126" s="38" t="s">
        <v>171</v>
      </c>
      <c r="I1126" s="282"/>
      <c r="J1126" s="282"/>
      <c r="K1126" s="282"/>
      <c r="L1126" s="34"/>
      <c r="M1126" s="34"/>
      <c r="N1126" s="410"/>
      <c r="O1126" s="196"/>
      <c r="P1126" s="412"/>
      <c r="Q1126" s="194"/>
      <c r="R1126" s="194"/>
    </row>
    <row r="1127" spans="1:18" ht="20.100000000000001" hidden="1" customHeight="1" x14ac:dyDescent="0.25">
      <c r="A1127" s="174"/>
      <c r="B1127" s="174"/>
      <c r="C1127" s="174"/>
      <c r="D1127" s="175"/>
      <c r="E1127" s="171" t="s">
        <v>173</v>
      </c>
      <c r="F1127" s="38"/>
      <c r="G1127" s="181" t="s">
        <v>466</v>
      </c>
      <c r="H1127" s="38" t="s">
        <v>174</v>
      </c>
      <c r="I1127" s="282"/>
      <c r="J1127" s="282"/>
      <c r="K1127" s="282"/>
      <c r="L1127" s="34"/>
      <c r="M1127" s="34"/>
      <c r="N1127" s="410"/>
      <c r="O1127" s="196"/>
      <c r="P1127" s="412"/>
      <c r="Q1127" s="194"/>
      <c r="R1127" s="194"/>
    </row>
    <row r="1128" spans="1:18" ht="20.100000000000001" hidden="1" customHeight="1" x14ac:dyDescent="0.25">
      <c r="A1128" s="174"/>
      <c r="B1128" s="174"/>
      <c r="C1128" s="174"/>
      <c r="D1128" s="175"/>
      <c r="E1128" s="171"/>
      <c r="F1128" s="38" t="s">
        <v>175</v>
      </c>
      <c r="G1128" s="181" t="s">
        <v>466</v>
      </c>
      <c r="H1128" s="38" t="s">
        <v>174</v>
      </c>
      <c r="I1128" s="282"/>
      <c r="J1128" s="282"/>
      <c r="K1128" s="282"/>
      <c r="L1128" s="34"/>
      <c r="M1128" s="34"/>
      <c r="N1128" s="410"/>
      <c r="O1128" s="196"/>
      <c r="P1128" s="412"/>
      <c r="Q1128" s="194"/>
      <c r="R1128" s="194"/>
    </row>
    <row r="1129" spans="1:18" ht="20.100000000000001" hidden="1" customHeight="1" x14ac:dyDescent="0.25">
      <c r="A1129" s="174"/>
      <c r="B1129" s="174"/>
      <c r="C1129" s="174"/>
      <c r="D1129" s="175"/>
      <c r="E1129" s="171" t="s">
        <v>176</v>
      </c>
      <c r="F1129" s="38"/>
      <c r="G1129" s="181" t="s">
        <v>466</v>
      </c>
      <c r="H1129" s="38" t="s">
        <v>177</v>
      </c>
      <c r="I1129" s="282"/>
      <c r="J1129" s="282"/>
      <c r="K1129" s="282"/>
      <c r="L1129" s="34"/>
      <c r="M1129" s="34"/>
      <c r="N1129" s="410"/>
      <c r="O1129" s="196"/>
      <c r="P1129" s="412"/>
      <c r="Q1129" s="194"/>
      <c r="R1129" s="194"/>
    </row>
    <row r="1130" spans="1:18" ht="20.100000000000001" hidden="1" customHeight="1" x14ac:dyDescent="0.25">
      <c r="A1130" s="174"/>
      <c r="B1130" s="174"/>
      <c r="C1130" s="174"/>
      <c r="D1130" s="175"/>
      <c r="E1130" s="171"/>
      <c r="F1130" s="38" t="s">
        <v>178</v>
      </c>
      <c r="G1130" s="181" t="s">
        <v>466</v>
      </c>
      <c r="H1130" s="38" t="s">
        <v>177</v>
      </c>
      <c r="I1130" s="282"/>
      <c r="J1130" s="282"/>
      <c r="K1130" s="282"/>
      <c r="L1130" s="34"/>
      <c r="M1130" s="34"/>
      <c r="N1130" s="410"/>
      <c r="O1130" s="196"/>
      <c r="P1130" s="412"/>
      <c r="Q1130" s="194"/>
      <c r="R1130" s="194"/>
    </row>
    <row r="1131" spans="1:18" ht="20.100000000000001" hidden="1" customHeight="1" x14ac:dyDescent="0.25">
      <c r="A1131" s="174"/>
      <c r="B1131" s="174"/>
      <c r="C1131" s="174"/>
      <c r="D1131" s="174">
        <v>3233</v>
      </c>
      <c r="E1131" s="174"/>
      <c r="F1131" s="44"/>
      <c r="G1131" s="181" t="s">
        <v>466</v>
      </c>
      <c r="H1131" s="38" t="s">
        <v>37</v>
      </c>
      <c r="I1131" s="282">
        <f>I1132</f>
        <v>260</v>
      </c>
      <c r="J1131" s="282">
        <f>J1132</f>
        <v>-260</v>
      </c>
      <c r="K1131" s="282">
        <f>K1132</f>
        <v>0</v>
      </c>
      <c r="L1131" s="34">
        <f>L1132</f>
        <v>2350</v>
      </c>
      <c r="M1131" s="34">
        <f>M1132</f>
        <v>2350</v>
      </c>
      <c r="N1131" s="410"/>
      <c r="O1131" s="196"/>
      <c r="P1131" s="412"/>
      <c r="Q1131" s="194"/>
      <c r="R1131" s="194"/>
    </row>
    <row r="1132" spans="1:18" ht="20.100000000000001" hidden="1" customHeight="1" x14ac:dyDescent="0.25">
      <c r="A1132" s="174"/>
      <c r="B1132" s="174"/>
      <c r="C1132" s="174"/>
      <c r="D1132" s="174"/>
      <c r="E1132" s="171" t="s">
        <v>182</v>
      </c>
      <c r="F1132" s="38"/>
      <c r="G1132" s="181" t="s">
        <v>466</v>
      </c>
      <c r="H1132" s="38" t="s">
        <v>183</v>
      </c>
      <c r="I1132" s="282">
        <f>I1133</f>
        <v>260</v>
      </c>
      <c r="J1132" s="282">
        <f>J1133</f>
        <v>-260</v>
      </c>
      <c r="K1132" s="282">
        <f>K1133</f>
        <v>0</v>
      </c>
      <c r="L1132" s="34">
        <v>2350</v>
      </c>
      <c r="M1132" s="34">
        <v>2350</v>
      </c>
      <c r="N1132" s="410"/>
      <c r="O1132" s="196"/>
      <c r="P1132" s="412"/>
      <c r="Q1132" s="194"/>
      <c r="R1132" s="194"/>
    </row>
    <row r="1133" spans="1:18" ht="20.100000000000001" hidden="1" customHeight="1" x14ac:dyDescent="0.25">
      <c r="A1133" s="174"/>
      <c r="B1133" s="174"/>
      <c r="C1133" s="174"/>
      <c r="D1133" s="174"/>
      <c r="E1133" s="171"/>
      <c r="F1133" s="38" t="s">
        <v>184</v>
      </c>
      <c r="G1133" s="181" t="s">
        <v>466</v>
      </c>
      <c r="H1133" s="38" t="s">
        <v>183</v>
      </c>
      <c r="I1133" s="282">
        <v>260</v>
      </c>
      <c r="J1133" s="282">
        <f>K1133-I1133</f>
        <v>-260</v>
      </c>
      <c r="K1133" s="282">
        <v>0</v>
      </c>
      <c r="L1133" s="34">
        <v>6000</v>
      </c>
      <c r="M1133" s="34">
        <v>6000</v>
      </c>
      <c r="N1133" s="410"/>
      <c r="O1133" s="196"/>
      <c r="P1133" s="412"/>
      <c r="Q1133" s="194"/>
      <c r="R1133" s="194"/>
    </row>
    <row r="1134" spans="1:18" ht="20.100000000000001" hidden="1" customHeight="1" x14ac:dyDescent="0.25">
      <c r="A1134" s="174"/>
      <c r="B1134" s="174"/>
      <c r="C1134" s="174"/>
      <c r="D1134" s="175">
        <v>3234</v>
      </c>
      <c r="E1134" s="175"/>
      <c r="F1134" s="56"/>
      <c r="G1134" s="181" t="s">
        <v>466</v>
      </c>
      <c r="H1134" s="53" t="s">
        <v>38</v>
      </c>
      <c r="I1134" s="282">
        <f>I1135+I1137+I1139</f>
        <v>440</v>
      </c>
      <c r="J1134" s="282">
        <f>J1135+J1137+J1139</f>
        <v>0</v>
      </c>
      <c r="K1134" s="282">
        <f>K1135+K1137+K1139</f>
        <v>440</v>
      </c>
      <c r="L1134" s="34">
        <f>L1135+L1137+L1139</f>
        <v>2100</v>
      </c>
      <c r="M1134" s="34">
        <f>M1135+M1137+M1139</f>
        <v>2100</v>
      </c>
      <c r="N1134" s="410"/>
      <c r="O1134" s="196"/>
      <c r="P1134" s="412"/>
      <c r="Q1134" s="194"/>
      <c r="R1134" s="194"/>
    </row>
    <row r="1135" spans="1:18" ht="20.100000000000001" hidden="1" customHeight="1" x14ac:dyDescent="0.25">
      <c r="A1135" s="174"/>
      <c r="B1135" s="174"/>
      <c r="C1135" s="174"/>
      <c r="D1135" s="175"/>
      <c r="E1135" s="171" t="s">
        <v>185</v>
      </c>
      <c r="F1135" s="38"/>
      <c r="G1135" s="181" t="s">
        <v>466</v>
      </c>
      <c r="H1135" s="38" t="s">
        <v>186</v>
      </c>
      <c r="I1135" s="282">
        <f>I1136</f>
        <v>150</v>
      </c>
      <c r="J1135" s="282">
        <f>J1136</f>
        <v>0</v>
      </c>
      <c r="K1135" s="282">
        <f>K1136</f>
        <v>150</v>
      </c>
      <c r="L1135" s="34">
        <f>L1136</f>
        <v>700</v>
      </c>
      <c r="M1135" s="34">
        <f>M1136</f>
        <v>700</v>
      </c>
      <c r="N1135" s="410"/>
      <c r="O1135" s="196"/>
      <c r="P1135" s="412"/>
      <c r="Q1135" s="194"/>
      <c r="R1135" s="194"/>
    </row>
    <row r="1136" spans="1:18" ht="20.100000000000001" hidden="1" customHeight="1" x14ac:dyDescent="0.25">
      <c r="A1136" s="174"/>
      <c r="B1136" s="174"/>
      <c r="C1136" s="174"/>
      <c r="D1136" s="175"/>
      <c r="E1136" s="171"/>
      <c r="F1136" s="38" t="s">
        <v>187</v>
      </c>
      <c r="G1136" s="181" t="s">
        <v>466</v>
      </c>
      <c r="H1136" s="38" t="s">
        <v>186</v>
      </c>
      <c r="I1136" s="282">
        <v>150</v>
      </c>
      <c r="J1136" s="282">
        <f>K1136-I1136</f>
        <v>0</v>
      </c>
      <c r="K1136" s="282">
        <v>150</v>
      </c>
      <c r="L1136" s="34">
        <v>700</v>
      </c>
      <c r="M1136" s="34">
        <v>700</v>
      </c>
      <c r="N1136" s="410"/>
      <c r="O1136" s="196"/>
      <c r="P1136" s="412"/>
      <c r="Q1136" s="194"/>
      <c r="R1136" s="194"/>
    </row>
    <row r="1137" spans="1:18" ht="20.100000000000001" hidden="1" customHeight="1" x14ac:dyDescent="0.25">
      <c r="A1137" s="174"/>
      <c r="B1137" s="174"/>
      <c r="C1137" s="174"/>
      <c r="D1137" s="175"/>
      <c r="E1137" s="171" t="s">
        <v>188</v>
      </c>
      <c r="F1137" s="38"/>
      <c r="G1137" s="181" t="s">
        <v>466</v>
      </c>
      <c r="H1137" s="38" t="s">
        <v>189</v>
      </c>
      <c r="I1137" s="282">
        <f>I1138</f>
        <v>130</v>
      </c>
      <c r="J1137" s="282">
        <f>J1138</f>
        <v>0</v>
      </c>
      <c r="K1137" s="282">
        <f>K1138</f>
        <v>130</v>
      </c>
      <c r="L1137" s="34">
        <f>L1138</f>
        <v>700</v>
      </c>
      <c r="M1137" s="34">
        <f>M1138</f>
        <v>700</v>
      </c>
      <c r="N1137" s="410"/>
      <c r="O1137" s="196"/>
      <c r="P1137" s="412"/>
      <c r="Q1137" s="194"/>
      <c r="R1137" s="194"/>
    </row>
    <row r="1138" spans="1:18" ht="20.100000000000001" hidden="1" customHeight="1" x14ac:dyDescent="0.25">
      <c r="A1138" s="174"/>
      <c r="B1138" s="174"/>
      <c r="C1138" s="174"/>
      <c r="D1138" s="175"/>
      <c r="E1138" s="171"/>
      <c r="F1138" s="38" t="s">
        <v>190</v>
      </c>
      <c r="G1138" s="181" t="s">
        <v>466</v>
      </c>
      <c r="H1138" s="38" t="s">
        <v>189</v>
      </c>
      <c r="I1138" s="282">
        <v>130</v>
      </c>
      <c r="J1138" s="282">
        <f>K1138-I1138</f>
        <v>0</v>
      </c>
      <c r="K1138" s="282">
        <v>130</v>
      </c>
      <c r="L1138" s="34">
        <v>700</v>
      </c>
      <c r="M1138" s="34">
        <v>700</v>
      </c>
      <c r="N1138" s="410"/>
      <c r="O1138" s="196"/>
      <c r="P1138" s="412"/>
      <c r="Q1138" s="194"/>
      <c r="R1138" s="194"/>
    </row>
    <row r="1139" spans="1:18" ht="20.100000000000001" hidden="1" customHeight="1" x14ac:dyDescent="0.25">
      <c r="A1139" s="174"/>
      <c r="B1139" s="174"/>
      <c r="C1139" s="174"/>
      <c r="D1139" s="175"/>
      <c r="E1139" s="171" t="s">
        <v>191</v>
      </c>
      <c r="F1139" s="38"/>
      <c r="G1139" s="181" t="s">
        <v>466</v>
      </c>
      <c r="H1139" s="38" t="s">
        <v>192</v>
      </c>
      <c r="I1139" s="282">
        <f>I1140+I1141</f>
        <v>160</v>
      </c>
      <c r="J1139" s="282">
        <f>J1140+J1141</f>
        <v>0</v>
      </c>
      <c r="K1139" s="282">
        <f>K1140+K1141</f>
        <v>160</v>
      </c>
      <c r="L1139" s="34">
        <f>L1140+L1141</f>
        <v>700</v>
      </c>
      <c r="M1139" s="34">
        <f>M1140+M1141</f>
        <v>700</v>
      </c>
      <c r="N1139" s="410"/>
      <c r="O1139" s="196"/>
      <c r="P1139" s="412"/>
      <c r="Q1139" s="194"/>
      <c r="R1139" s="194"/>
    </row>
    <row r="1140" spans="1:18" ht="20.100000000000001" hidden="1" customHeight="1" x14ac:dyDescent="0.25">
      <c r="A1140" s="174"/>
      <c r="B1140" s="174"/>
      <c r="C1140" s="174"/>
      <c r="D1140" s="175"/>
      <c r="E1140" s="171"/>
      <c r="F1140" s="38" t="s">
        <v>193</v>
      </c>
      <c r="G1140" s="181" t="s">
        <v>466</v>
      </c>
      <c r="H1140" s="38" t="s">
        <v>192</v>
      </c>
      <c r="I1140" s="282">
        <v>10</v>
      </c>
      <c r="J1140" s="282">
        <f>K1140-I1140</f>
        <v>0</v>
      </c>
      <c r="K1140" s="282">
        <v>10</v>
      </c>
      <c r="L1140" s="34">
        <v>100</v>
      </c>
      <c r="M1140" s="34">
        <v>100</v>
      </c>
      <c r="N1140" s="410"/>
      <c r="O1140" s="196"/>
      <c r="P1140" s="412"/>
      <c r="Q1140" s="194"/>
      <c r="R1140" s="194"/>
    </row>
    <row r="1141" spans="1:18" ht="19.5" hidden="1" customHeight="1" x14ac:dyDescent="0.25">
      <c r="A1141" s="174"/>
      <c r="B1141" s="174"/>
      <c r="C1141" s="174"/>
      <c r="D1141" s="175"/>
      <c r="E1141" s="171"/>
      <c r="F1141" s="38" t="s">
        <v>194</v>
      </c>
      <c r="G1141" s="181" t="s">
        <v>466</v>
      </c>
      <c r="H1141" s="38" t="s">
        <v>195</v>
      </c>
      <c r="I1141" s="282">
        <v>150</v>
      </c>
      <c r="J1141" s="282">
        <f>K1141-I1141</f>
        <v>0</v>
      </c>
      <c r="K1141" s="282">
        <v>150</v>
      </c>
      <c r="L1141" s="34">
        <v>600</v>
      </c>
      <c r="M1141" s="34">
        <v>600</v>
      </c>
      <c r="N1141" s="410"/>
      <c r="O1141" s="196"/>
      <c r="P1141" s="412"/>
      <c r="Q1141" s="194"/>
      <c r="R1141" s="194"/>
    </row>
    <row r="1142" spans="1:18" s="268" customFormat="1" ht="20.100000000000001" hidden="1" customHeight="1" x14ac:dyDescent="0.25">
      <c r="A1142" s="174"/>
      <c r="B1142" s="174"/>
      <c r="C1142" s="174"/>
      <c r="D1142" s="174">
        <v>3236</v>
      </c>
      <c r="E1142" s="174"/>
      <c r="F1142" s="44"/>
      <c r="G1142" s="181" t="s">
        <v>466</v>
      </c>
      <c r="H1142" s="38" t="s">
        <v>40</v>
      </c>
      <c r="I1142" s="282"/>
      <c r="J1142" s="282"/>
      <c r="K1142" s="282"/>
      <c r="L1142" s="51"/>
      <c r="M1142" s="51"/>
      <c r="N1142" s="410"/>
      <c r="O1142" s="196"/>
      <c r="P1142" s="411"/>
    </row>
    <row r="1143" spans="1:18" s="268" customFormat="1" ht="20.100000000000001" hidden="1" customHeight="1" x14ac:dyDescent="0.25">
      <c r="A1143" s="174"/>
      <c r="B1143" s="174"/>
      <c r="C1143" s="174"/>
      <c r="D1143" s="174"/>
      <c r="E1143" s="171" t="s">
        <v>202</v>
      </c>
      <c r="F1143" s="38"/>
      <c r="G1143" s="181" t="s">
        <v>466</v>
      </c>
      <c r="H1143" s="38" t="s">
        <v>203</v>
      </c>
      <c r="I1143" s="282"/>
      <c r="J1143" s="282"/>
      <c r="K1143" s="282"/>
      <c r="L1143" s="51"/>
      <c r="M1143" s="51"/>
      <c r="N1143" s="410"/>
      <c r="O1143" s="196"/>
      <c r="P1143" s="411"/>
    </row>
    <row r="1144" spans="1:18" s="268" customFormat="1" ht="20.100000000000001" hidden="1" customHeight="1" x14ac:dyDescent="0.25">
      <c r="A1144" s="174"/>
      <c r="B1144" s="174"/>
      <c r="C1144" s="174"/>
      <c r="D1144" s="174"/>
      <c r="E1144" s="171"/>
      <c r="F1144" s="38" t="s">
        <v>204</v>
      </c>
      <c r="G1144" s="181" t="s">
        <v>466</v>
      </c>
      <c r="H1144" s="38" t="s">
        <v>203</v>
      </c>
      <c r="I1144" s="282"/>
      <c r="J1144" s="282"/>
      <c r="K1144" s="282"/>
      <c r="L1144" s="51"/>
      <c r="M1144" s="51"/>
      <c r="N1144" s="410"/>
      <c r="O1144" s="196"/>
      <c r="P1144" s="411"/>
    </row>
    <row r="1145" spans="1:18" s="268" customFormat="1" ht="20.100000000000001" hidden="1" customHeight="1" x14ac:dyDescent="0.25">
      <c r="A1145" s="174"/>
      <c r="B1145" s="174"/>
      <c r="C1145" s="174"/>
      <c r="D1145" s="174"/>
      <c r="E1145" s="171" t="s">
        <v>205</v>
      </c>
      <c r="F1145" s="38"/>
      <c r="G1145" s="181" t="s">
        <v>466</v>
      </c>
      <c r="H1145" s="38" t="s">
        <v>206</v>
      </c>
      <c r="I1145" s="282"/>
      <c r="J1145" s="282"/>
      <c r="K1145" s="282"/>
      <c r="L1145" s="51"/>
      <c r="M1145" s="51"/>
      <c r="N1145" s="410"/>
      <c r="O1145" s="196"/>
      <c r="P1145" s="411"/>
    </row>
    <row r="1146" spans="1:18" s="268" customFormat="1" ht="20.100000000000001" hidden="1" customHeight="1" x14ac:dyDescent="0.25">
      <c r="A1146" s="174"/>
      <c r="B1146" s="174"/>
      <c r="C1146" s="174"/>
      <c r="D1146" s="174"/>
      <c r="E1146" s="171"/>
      <c r="F1146" s="38" t="s">
        <v>207</v>
      </c>
      <c r="G1146" s="181" t="s">
        <v>466</v>
      </c>
      <c r="H1146" s="38" t="s">
        <v>206</v>
      </c>
      <c r="I1146" s="282"/>
      <c r="J1146" s="282"/>
      <c r="K1146" s="282"/>
      <c r="L1146" s="51"/>
      <c r="M1146" s="51"/>
      <c r="N1146" s="410"/>
      <c r="O1146" s="196"/>
      <c r="P1146" s="411"/>
    </row>
    <row r="1147" spans="1:18" ht="20.100000000000001" hidden="1" customHeight="1" x14ac:dyDescent="0.25">
      <c r="A1147" s="174"/>
      <c r="B1147" s="174"/>
      <c r="C1147" s="174"/>
      <c r="D1147" s="174">
        <v>3237</v>
      </c>
      <c r="E1147" s="174"/>
      <c r="F1147" s="44"/>
      <c r="G1147" s="181" t="s">
        <v>466</v>
      </c>
      <c r="H1147" s="38" t="s">
        <v>208</v>
      </c>
      <c r="I1147" s="282">
        <f t="shared" ref="I1147:M1148" si="196">I1148</f>
        <v>1300</v>
      </c>
      <c r="J1147" s="282">
        <f t="shared" si="196"/>
        <v>520</v>
      </c>
      <c r="K1147" s="282">
        <f t="shared" si="196"/>
        <v>1820</v>
      </c>
      <c r="L1147" s="34">
        <f t="shared" si="196"/>
        <v>10000</v>
      </c>
      <c r="M1147" s="34">
        <f t="shared" si="196"/>
        <v>10000</v>
      </c>
      <c r="N1147" s="410"/>
      <c r="O1147" s="196"/>
      <c r="P1147" s="412"/>
      <c r="Q1147" s="194"/>
      <c r="R1147" s="194"/>
    </row>
    <row r="1148" spans="1:18" ht="20.100000000000001" hidden="1" customHeight="1" x14ac:dyDescent="0.25">
      <c r="A1148" s="174"/>
      <c r="B1148" s="174"/>
      <c r="C1148" s="174"/>
      <c r="D1148" s="174"/>
      <c r="E1148" s="171" t="s">
        <v>209</v>
      </c>
      <c r="F1148" s="38"/>
      <c r="G1148" s="181" t="s">
        <v>466</v>
      </c>
      <c r="H1148" s="38" t="s">
        <v>210</v>
      </c>
      <c r="I1148" s="282">
        <f t="shared" si="196"/>
        <v>1300</v>
      </c>
      <c r="J1148" s="282">
        <f t="shared" si="196"/>
        <v>520</v>
      </c>
      <c r="K1148" s="282">
        <f t="shared" si="196"/>
        <v>1820</v>
      </c>
      <c r="L1148" s="34">
        <f t="shared" si="196"/>
        <v>10000</v>
      </c>
      <c r="M1148" s="34">
        <f t="shared" si="196"/>
        <v>10000</v>
      </c>
      <c r="N1148" s="410"/>
      <c r="O1148" s="196"/>
      <c r="P1148" s="412"/>
      <c r="Q1148" s="194"/>
      <c r="R1148" s="194"/>
    </row>
    <row r="1149" spans="1:18" ht="20.100000000000001" hidden="1" customHeight="1" x14ac:dyDescent="0.25">
      <c r="A1149" s="174"/>
      <c r="B1149" s="174"/>
      <c r="C1149" s="174"/>
      <c r="D1149" s="174"/>
      <c r="E1149" s="171"/>
      <c r="F1149" s="38" t="s">
        <v>211</v>
      </c>
      <c r="G1149" s="181" t="s">
        <v>466</v>
      </c>
      <c r="H1149" s="38" t="s">
        <v>210</v>
      </c>
      <c r="I1149" s="282">
        <v>1300</v>
      </c>
      <c r="J1149" s="282">
        <f>K1149-I1149</f>
        <v>520</v>
      </c>
      <c r="K1149" s="282">
        <f>1300+260+200+60</f>
        <v>1820</v>
      </c>
      <c r="L1149" s="34">
        <v>10000</v>
      </c>
      <c r="M1149" s="34">
        <v>10000</v>
      </c>
      <c r="N1149" s="410"/>
      <c r="O1149" s="196"/>
      <c r="P1149" s="412"/>
      <c r="Q1149" s="194"/>
      <c r="R1149" s="194"/>
    </row>
    <row r="1150" spans="1:18" ht="20.100000000000001" hidden="1" customHeight="1" x14ac:dyDescent="0.25">
      <c r="A1150" s="174"/>
      <c r="B1150" s="174"/>
      <c r="C1150" s="174"/>
      <c r="D1150" s="174"/>
      <c r="E1150" s="171" t="s">
        <v>212</v>
      </c>
      <c r="F1150" s="38"/>
      <c r="G1150" s="181" t="s">
        <v>466</v>
      </c>
      <c r="H1150" s="38" t="s">
        <v>213</v>
      </c>
      <c r="I1150" s="282"/>
      <c r="J1150" s="282"/>
      <c r="K1150" s="282"/>
      <c r="L1150" s="34"/>
      <c r="M1150" s="34"/>
      <c r="N1150" s="410"/>
      <c r="O1150" s="196"/>
      <c r="P1150" s="412"/>
      <c r="Q1150" s="194"/>
      <c r="R1150" s="194"/>
    </row>
    <row r="1151" spans="1:18" ht="20.100000000000001" hidden="1" customHeight="1" x14ac:dyDescent="0.25">
      <c r="A1151" s="174"/>
      <c r="B1151" s="174"/>
      <c r="C1151" s="174"/>
      <c r="D1151" s="174"/>
      <c r="E1151" s="171"/>
      <c r="F1151" s="38" t="s">
        <v>214</v>
      </c>
      <c r="G1151" s="181" t="s">
        <v>466</v>
      </c>
      <c r="H1151" s="38" t="s">
        <v>213</v>
      </c>
      <c r="I1151" s="282"/>
      <c r="J1151" s="282"/>
      <c r="K1151" s="282"/>
      <c r="L1151" s="34"/>
      <c r="M1151" s="34"/>
      <c r="N1151" s="410"/>
      <c r="O1151" s="196"/>
      <c r="P1151" s="412"/>
      <c r="Q1151" s="194"/>
      <c r="R1151" s="194"/>
    </row>
    <row r="1152" spans="1:18" ht="20.100000000000001" hidden="1" customHeight="1" x14ac:dyDescent="0.25">
      <c r="A1152" s="174"/>
      <c r="B1152" s="174"/>
      <c r="C1152" s="174"/>
      <c r="D1152" s="174"/>
      <c r="E1152" s="171" t="s">
        <v>215</v>
      </c>
      <c r="F1152" s="38"/>
      <c r="G1152" s="181" t="s">
        <v>466</v>
      </c>
      <c r="H1152" s="38" t="s">
        <v>216</v>
      </c>
      <c r="I1152" s="282"/>
      <c r="J1152" s="282"/>
      <c r="K1152" s="282"/>
      <c r="L1152" s="34"/>
      <c r="M1152" s="34"/>
      <c r="N1152" s="410"/>
      <c r="O1152" s="196"/>
      <c r="P1152" s="412"/>
      <c r="Q1152" s="194"/>
      <c r="R1152" s="194"/>
    </row>
    <row r="1153" spans="1:18" ht="20.100000000000001" hidden="1" customHeight="1" x14ac:dyDescent="0.25">
      <c r="A1153" s="174"/>
      <c r="B1153" s="174"/>
      <c r="C1153" s="174"/>
      <c r="D1153" s="174"/>
      <c r="E1153" s="171"/>
      <c r="F1153" s="38" t="s">
        <v>217</v>
      </c>
      <c r="G1153" s="181" t="s">
        <v>466</v>
      </c>
      <c r="H1153" s="38" t="s">
        <v>216</v>
      </c>
      <c r="I1153" s="282"/>
      <c r="J1153" s="282"/>
      <c r="K1153" s="282"/>
      <c r="L1153" s="34"/>
      <c r="M1153" s="34"/>
      <c r="N1153" s="410"/>
      <c r="O1153" s="196"/>
      <c r="P1153" s="412"/>
      <c r="Q1153" s="194"/>
      <c r="R1153" s="194"/>
    </row>
    <row r="1154" spans="1:18" ht="20.100000000000001" hidden="1" customHeight="1" x14ac:dyDescent="0.25">
      <c r="A1154" s="174"/>
      <c r="B1154" s="174"/>
      <c r="C1154" s="174"/>
      <c r="D1154" s="174"/>
      <c r="E1154" s="171"/>
      <c r="F1154" s="38" t="s">
        <v>218</v>
      </c>
      <c r="G1154" s="181" t="s">
        <v>466</v>
      </c>
      <c r="H1154" s="38" t="s">
        <v>216</v>
      </c>
      <c r="I1154" s="282"/>
      <c r="J1154" s="282"/>
      <c r="K1154" s="282"/>
      <c r="L1154" s="34"/>
      <c r="M1154" s="34"/>
      <c r="N1154" s="410"/>
      <c r="O1154" s="196"/>
      <c r="P1154" s="412"/>
      <c r="Q1154" s="194"/>
      <c r="R1154" s="194"/>
    </row>
    <row r="1155" spans="1:18" ht="20.100000000000001" hidden="1" customHeight="1" x14ac:dyDescent="0.25">
      <c r="A1155" s="174"/>
      <c r="B1155" s="174"/>
      <c r="C1155" s="174"/>
      <c r="D1155" s="175">
        <v>3238</v>
      </c>
      <c r="E1155" s="175"/>
      <c r="F1155" s="56"/>
      <c r="G1155" s="181" t="s">
        <v>466</v>
      </c>
      <c r="H1155" s="53" t="s">
        <v>41</v>
      </c>
      <c r="I1155" s="282">
        <f t="shared" ref="I1155:M1156" si="197">I1156</f>
        <v>1250</v>
      </c>
      <c r="J1155" s="282">
        <f t="shared" si="197"/>
        <v>0</v>
      </c>
      <c r="K1155" s="282">
        <f t="shared" si="197"/>
        <v>1250</v>
      </c>
      <c r="L1155" s="34">
        <f t="shared" si="197"/>
        <v>9250</v>
      </c>
      <c r="M1155" s="34">
        <f t="shared" si="197"/>
        <v>9250</v>
      </c>
      <c r="N1155" s="410"/>
      <c r="O1155" s="196"/>
    </row>
    <row r="1156" spans="1:18" ht="20.100000000000001" hidden="1" customHeight="1" x14ac:dyDescent="0.25">
      <c r="A1156" s="174"/>
      <c r="B1156" s="174"/>
      <c r="C1156" s="174"/>
      <c r="D1156" s="175"/>
      <c r="E1156" s="171" t="s">
        <v>219</v>
      </c>
      <c r="F1156" s="38"/>
      <c r="G1156" s="181" t="s">
        <v>466</v>
      </c>
      <c r="H1156" s="38" t="s">
        <v>220</v>
      </c>
      <c r="I1156" s="282">
        <f t="shared" si="197"/>
        <v>1250</v>
      </c>
      <c r="J1156" s="282">
        <f t="shared" si="197"/>
        <v>0</v>
      </c>
      <c r="K1156" s="282">
        <f t="shared" si="197"/>
        <v>1250</v>
      </c>
      <c r="L1156" s="34">
        <f t="shared" si="197"/>
        <v>9250</v>
      </c>
      <c r="M1156" s="34">
        <f t="shared" si="197"/>
        <v>9250</v>
      </c>
      <c r="N1156" s="410"/>
      <c r="O1156" s="196"/>
    </row>
    <row r="1157" spans="1:18" ht="20.100000000000001" hidden="1" customHeight="1" x14ac:dyDescent="0.25">
      <c r="A1157" s="174"/>
      <c r="B1157" s="174"/>
      <c r="C1157" s="174"/>
      <c r="D1157" s="175"/>
      <c r="E1157" s="171"/>
      <c r="F1157" s="38" t="s">
        <v>221</v>
      </c>
      <c r="G1157" s="181" t="s">
        <v>466</v>
      </c>
      <c r="H1157" s="38" t="s">
        <v>220</v>
      </c>
      <c r="I1157" s="282">
        <v>1250</v>
      </c>
      <c r="J1157" s="282">
        <f>K1157-I1157</f>
        <v>0</v>
      </c>
      <c r="K1157" s="282">
        <v>1250</v>
      </c>
      <c r="L1157" s="34">
        <v>9250</v>
      </c>
      <c r="M1157" s="34">
        <v>9250</v>
      </c>
      <c r="N1157" s="410"/>
      <c r="O1157" s="196"/>
    </row>
    <row r="1158" spans="1:18" ht="20.100000000000001" hidden="1" customHeight="1" x14ac:dyDescent="0.25">
      <c r="A1158" s="174"/>
      <c r="B1158" s="174"/>
      <c r="C1158" s="174"/>
      <c r="D1158" s="175">
        <v>3239</v>
      </c>
      <c r="E1158" s="175"/>
      <c r="F1158" s="56"/>
      <c r="G1158" s="181" t="s">
        <v>466</v>
      </c>
      <c r="H1158" s="53" t="s">
        <v>42</v>
      </c>
      <c r="I1158" s="282">
        <f>I1163+I1165</f>
        <v>440</v>
      </c>
      <c r="J1158" s="282">
        <f>J1163+J1165</f>
        <v>0</v>
      </c>
      <c r="K1158" s="282">
        <f>K1163+K1165</f>
        <v>440</v>
      </c>
      <c r="L1158" s="34">
        <f>L1163+L1165</f>
        <v>2500</v>
      </c>
      <c r="M1158" s="34">
        <f>M1163+M1165</f>
        <v>2500</v>
      </c>
      <c r="N1158" s="410"/>
      <c r="O1158" s="196"/>
    </row>
    <row r="1159" spans="1:18" ht="30" hidden="1" customHeight="1" x14ac:dyDescent="0.25">
      <c r="A1159" s="174"/>
      <c r="B1159" s="174"/>
      <c r="C1159" s="174"/>
      <c r="D1159" s="175"/>
      <c r="E1159" s="171" t="s">
        <v>222</v>
      </c>
      <c r="F1159" s="38"/>
      <c r="G1159" s="181" t="s">
        <v>466</v>
      </c>
      <c r="H1159" s="38" t="s">
        <v>223</v>
      </c>
      <c r="I1159" s="282"/>
      <c r="J1159" s="282"/>
      <c r="K1159" s="282"/>
      <c r="L1159" s="34"/>
      <c r="M1159" s="34"/>
      <c r="N1159" s="410"/>
      <c r="O1159" s="196"/>
    </row>
    <row r="1160" spans="1:18" ht="30" hidden="1" customHeight="1" x14ac:dyDescent="0.25">
      <c r="A1160" s="174"/>
      <c r="B1160" s="174"/>
      <c r="C1160" s="174"/>
      <c r="D1160" s="175"/>
      <c r="E1160" s="171"/>
      <c r="F1160" s="38" t="s">
        <v>224</v>
      </c>
      <c r="G1160" s="181" t="s">
        <v>466</v>
      </c>
      <c r="H1160" s="38" t="s">
        <v>223</v>
      </c>
      <c r="I1160" s="282"/>
      <c r="J1160" s="282"/>
      <c r="K1160" s="282"/>
      <c r="L1160" s="34"/>
      <c r="M1160" s="34"/>
      <c r="N1160" s="410"/>
      <c r="O1160" s="196"/>
    </row>
    <row r="1161" spans="1:18" ht="20.100000000000001" hidden="1" customHeight="1" x14ac:dyDescent="0.25">
      <c r="A1161" s="174"/>
      <c r="B1161" s="174"/>
      <c r="C1161" s="174"/>
      <c r="D1161" s="175"/>
      <c r="E1161" s="171" t="s">
        <v>225</v>
      </c>
      <c r="F1161" s="38"/>
      <c r="G1161" s="181" t="s">
        <v>466</v>
      </c>
      <c r="H1161" s="38" t="s">
        <v>226</v>
      </c>
      <c r="I1161" s="282"/>
      <c r="J1161" s="282"/>
      <c r="K1161" s="282"/>
      <c r="L1161" s="34"/>
      <c r="M1161" s="34"/>
      <c r="N1161" s="410"/>
      <c r="O1161" s="196"/>
    </row>
    <row r="1162" spans="1:18" ht="20.100000000000001" hidden="1" customHeight="1" x14ac:dyDescent="0.25">
      <c r="A1162" s="174"/>
      <c r="B1162" s="174"/>
      <c r="C1162" s="174"/>
      <c r="D1162" s="175"/>
      <c r="E1162" s="171"/>
      <c r="F1162" s="38" t="s">
        <v>227</v>
      </c>
      <c r="G1162" s="181" t="s">
        <v>466</v>
      </c>
      <c r="H1162" s="38" t="s">
        <v>226</v>
      </c>
      <c r="I1162" s="282"/>
      <c r="J1162" s="282"/>
      <c r="K1162" s="282"/>
      <c r="L1162" s="34"/>
      <c r="M1162" s="34"/>
      <c r="N1162" s="410"/>
      <c r="O1162" s="196"/>
    </row>
    <row r="1163" spans="1:18" ht="20.100000000000001" hidden="1" customHeight="1" x14ac:dyDescent="0.25">
      <c r="A1163" s="174"/>
      <c r="B1163" s="174"/>
      <c r="C1163" s="174"/>
      <c r="D1163" s="175"/>
      <c r="E1163" s="171" t="s">
        <v>228</v>
      </c>
      <c r="F1163" s="38"/>
      <c r="G1163" s="181" t="s">
        <v>466</v>
      </c>
      <c r="H1163" s="38" t="s">
        <v>229</v>
      </c>
      <c r="I1163" s="282">
        <f>I1164</f>
        <v>290</v>
      </c>
      <c r="J1163" s="282">
        <f>J1164</f>
        <v>0</v>
      </c>
      <c r="K1163" s="282">
        <f>K1164</f>
        <v>290</v>
      </c>
      <c r="L1163" s="34">
        <f>L1164</f>
        <v>1500</v>
      </c>
      <c r="M1163" s="34">
        <f>M1164</f>
        <v>1500</v>
      </c>
      <c r="N1163" s="410"/>
      <c r="O1163" s="196"/>
    </row>
    <row r="1164" spans="1:18" ht="20.100000000000001" hidden="1" customHeight="1" x14ac:dyDescent="0.25">
      <c r="A1164" s="174"/>
      <c r="B1164" s="174"/>
      <c r="C1164" s="174"/>
      <c r="D1164" s="175"/>
      <c r="E1164" s="171"/>
      <c r="F1164" s="38" t="s">
        <v>230</v>
      </c>
      <c r="G1164" s="181" t="s">
        <v>466</v>
      </c>
      <c r="H1164" s="38" t="s">
        <v>229</v>
      </c>
      <c r="I1164" s="282">
        <v>290</v>
      </c>
      <c r="J1164" s="282">
        <f>K1164-I1164</f>
        <v>0</v>
      </c>
      <c r="K1164" s="282">
        <v>290</v>
      </c>
      <c r="L1164" s="34">
        <v>1500</v>
      </c>
      <c r="M1164" s="34">
        <v>1500</v>
      </c>
      <c r="N1164" s="410"/>
      <c r="O1164" s="196"/>
    </row>
    <row r="1165" spans="1:18" ht="20.100000000000001" hidden="1" customHeight="1" x14ac:dyDescent="0.25">
      <c r="A1165" s="174"/>
      <c r="B1165" s="174"/>
      <c r="C1165" s="174"/>
      <c r="D1165" s="175"/>
      <c r="E1165" s="171" t="s">
        <v>231</v>
      </c>
      <c r="F1165" s="38"/>
      <c r="G1165" s="181" t="s">
        <v>466</v>
      </c>
      <c r="H1165" s="38" t="s">
        <v>232</v>
      </c>
      <c r="I1165" s="282">
        <f>I1170</f>
        <v>150</v>
      </c>
      <c r="J1165" s="282">
        <f>J1170</f>
        <v>0</v>
      </c>
      <c r="K1165" s="282">
        <f>K1170</f>
        <v>150</v>
      </c>
      <c r="L1165" s="34">
        <f>L1170</f>
        <v>1000</v>
      </c>
      <c r="M1165" s="34">
        <f>M1170</f>
        <v>1000</v>
      </c>
      <c r="N1165" s="410"/>
      <c r="O1165" s="196"/>
    </row>
    <row r="1166" spans="1:18" ht="30" hidden="1" customHeight="1" x14ac:dyDescent="0.25">
      <c r="A1166" s="174"/>
      <c r="B1166" s="174"/>
      <c r="C1166" s="174"/>
      <c r="D1166" s="174"/>
      <c r="E1166" s="171"/>
      <c r="F1166" s="38" t="s">
        <v>233</v>
      </c>
      <c r="G1166" s="181">
        <v>31</v>
      </c>
      <c r="H1166" s="38" t="s">
        <v>234</v>
      </c>
      <c r="I1166" s="282"/>
      <c r="J1166" s="282"/>
      <c r="K1166" s="282"/>
      <c r="L1166" s="34"/>
      <c r="M1166" s="34"/>
      <c r="N1166" s="410"/>
      <c r="O1166" s="196"/>
      <c r="P1166" s="68"/>
    </row>
    <row r="1167" spans="1:18" ht="30" hidden="1" customHeight="1" x14ac:dyDescent="0.25">
      <c r="A1167" s="174"/>
      <c r="B1167" s="174"/>
      <c r="C1167" s="174"/>
      <c r="D1167" s="174"/>
      <c r="E1167" s="171"/>
      <c r="F1167" s="38" t="s">
        <v>235</v>
      </c>
      <c r="G1167" s="181">
        <v>31</v>
      </c>
      <c r="H1167" s="38" t="s">
        <v>236</v>
      </c>
      <c r="I1167" s="282"/>
      <c r="J1167" s="282"/>
      <c r="K1167" s="282"/>
      <c r="L1167" s="34"/>
      <c r="M1167" s="34"/>
      <c r="N1167" s="410"/>
      <c r="O1167" s="196"/>
      <c r="P1167" s="68"/>
    </row>
    <row r="1168" spans="1:18" ht="23.25" hidden="1" customHeight="1" x14ac:dyDescent="0.25">
      <c r="A1168" s="174"/>
      <c r="B1168" s="174"/>
      <c r="C1168" s="174"/>
      <c r="D1168" s="174"/>
      <c r="E1168" s="171"/>
      <c r="F1168" s="38" t="s">
        <v>237</v>
      </c>
      <c r="G1168" s="181">
        <v>31</v>
      </c>
      <c r="H1168" s="38" t="s">
        <v>238</v>
      </c>
      <c r="I1168" s="282"/>
      <c r="J1168" s="282"/>
      <c r="K1168" s="282"/>
      <c r="L1168" s="34"/>
      <c r="M1168" s="34"/>
      <c r="N1168" s="410"/>
      <c r="O1168" s="196"/>
      <c r="P1168" s="68"/>
    </row>
    <row r="1169" spans="1:18" ht="30" hidden="1" customHeight="1" x14ac:dyDescent="0.25">
      <c r="A1169" s="174"/>
      <c r="B1169" s="174"/>
      <c r="C1169" s="174"/>
      <c r="D1169" s="174"/>
      <c r="E1169" s="171"/>
      <c r="F1169" s="38" t="s">
        <v>239</v>
      </c>
      <c r="G1169" s="181">
        <v>31</v>
      </c>
      <c r="H1169" s="38" t="s">
        <v>240</v>
      </c>
      <c r="I1169" s="282"/>
      <c r="J1169" s="282"/>
      <c r="K1169" s="282"/>
      <c r="L1169" s="34"/>
      <c r="M1169" s="34"/>
      <c r="N1169" s="410"/>
      <c r="O1169" s="196"/>
      <c r="P1169" s="68"/>
    </row>
    <row r="1170" spans="1:18" ht="30" hidden="1" customHeight="1" x14ac:dyDescent="0.25">
      <c r="A1170" s="174"/>
      <c r="B1170" s="174"/>
      <c r="C1170" s="174"/>
      <c r="D1170" s="174"/>
      <c r="E1170" s="171"/>
      <c r="F1170" s="38" t="s">
        <v>241</v>
      </c>
      <c r="G1170" s="181" t="s">
        <v>466</v>
      </c>
      <c r="H1170" s="38" t="s">
        <v>242</v>
      </c>
      <c r="I1170" s="282">
        <v>150</v>
      </c>
      <c r="J1170" s="282">
        <f>K1170-I1170</f>
        <v>0</v>
      </c>
      <c r="K1170" s="282">
        <v>150</v>
      </c>
      <c r="L1170" s="34">
        <v>1000</v>
      </c>
      <c r="M1170" s="34">
        <v>1000</v>
      </c>
      <c r="N1170" s="410"/>
      <c r="O1170" s="196"/>
      <c r="P1170" s="68"/>
    </row>
    <row r="1171" spans="1:18" ht="42.75" hidden="1" customHeight="1" x14ac:dyDescent="0.25">
      <c r="A1171" s="172"/>
      <c r="B1171" s="172"/>
      <c r="C1171" s="172"/>
      <c r="D1171" s="172"/>
      <c r="E1171" s="172"/>
      <c r="F1171" s="42"/>
      <c r="G1171" s="181">
        <v>31</v>
      </c>
      <c r="H1171" s="216" t="s">
        <v>361</v>
      </c>
      <c r="I1171" s="283"/>
      <c r="J1171" s="283"/>
      <c r="K1171" s="283"/>
      <c r="L1171" s="57"/>
      <c r="M1171" s="57"/>
      <c r="N1171" s="410"/>
      <c r="O1171" s="196"/>
    </row>
    <row r="1172" spans="1:18" ht="20.100000000000001" hidden="1" customHeight="1" x14ac:dyDescent="0.25">
      <c r="A1172" s="172"/>
      <c r="B1172" s="172"/>
      <c r="C1172" s="172"/>
      <c r="D1172" s="172"/>
      <c r="E1172" s="172"/>
      <c r="F1172" s="42"/>
      <c r="G1172" s="181">
        <v>31</v>
      </c>
      <c r="H1172" s="216" t="s">
        <v>289</v>
      </c>
      <c r="I1172" s="282"/>
      <c r="J1172" s="282"/>
      <c r="K1172" s="282"/>
      <c r="L1172" s="31"/>
      <c r="M1172" s="31"/>
      <c r="N1172" s="410"/>
      <c r="O1172" s="196"/>
    </row>
    <row r="1173" spans="1:18" s="21" customFormat="1" ht="20.100000000000001" hidden="1" customHeight="1" x14ac:dyDescent="0.25">
      <c r="A1173" s="172">
        <v>4</v>
      </c>
      <c r="B1173" s="172"/>
      <c r="C1173" s="172"/>
      <c r="D1173" s="172"/>
      <c r="E1173" s="172"/>
      <c r="F1173" s="42"/>
      <c r="G1173" s="181">
        <v>31</v>
      </c>
      <c r="H1173" s="43" t="s">
        <v>324</v>
      </c>
      <c r="I1173" s="282"/>
      <c r="J1173" s="282"/>
      <c r="K1173" s="282"/>
      <c r="L1173" s="31"/>
      <c r="M1173" s="31"/>
      <c r="N1173" s="410"/>
      <c r="O1173" s="196"/>
      <c r="P1173" s="270"/>
      <c r="Q1173" s="20"/>
      <c r="R1173" s="20"/>
    </row>
    <row r="1174" spans="1:18" s="21" customFormat="1" ht="28.5" hidden="1" customHeight="1" x14ac:dyDescent="0.25">
      <c r="A1174" s="172"/>
      <c r="B1174" s="172">
        <v>41</v>
      </c>
      <c r="C1174" s="172"/>
      <c r="D1174" s="172"/>
      <c r="E1174" s="172"/>
      <c r="F1174" s="42"/>
      <c r="G1174" s="181">
        <v>31</v>
      </c>
      <c r="H1174" s="43" t="s">
        <v>60</v>
      </c>
      <c r="I1174" s="282"/>
      <c r="J1174" s="282"/>
      <c r="K1174" s="282"/>
      <c r="L1174" s="31"/>
      <c r="M1174" s="31"/>
      <c r="N1174" s="410"/>
      <c r="O1174" s="196"/>
      <c r="P1174" s="270"/>
      <c r="Q1174" s="20"/>
      <c r="R1174" s="20"/>
    </row>
    <row r="1175" spans="1:18" s="21" customFormat="1" ht="20.100000000000001" hidden="1" customHeight="1" x14ac:dyDescent="0.25">
      <c r="A1175" s="172"/>
      <c r="B1175" s="172"/>
      <c r="C1175" s="172">
        <v>412</v>
      </c>
      <c r="D1175" s="172"/>
      <c r="E1175" s="172"/>
      <c r="F1175" s="42"/>
      <c r="G1175" s="181">
        <v>31</v>
      </c>
      <c r="H1175" s="43" t="s">
        <v>325</v>
      </c>
      <c r="I1175" s="282"/>
      <c r="J1175" s="282"/>
      <c r="K1175" s="282"/>
      <c r="L1175" s="31"/>
      <c r="M1175" s="31"/>
      <c r="N1175" s="410"/>
      <c r="O1175" s="196"/>
      <c r="P1175" s="270"/>
      <c r="Q1175" s="20"/>
      <c r="R1175" s="20"/>
    </row>
    <row r="1176" spans="1:18" ht="20.100000000000001" hidden="1" customHeight="1" x14ac:dyDescent="0.25">
      <c r="A1176" s="174"/>
      <c r="B1176" s="174"/>
      <c r="C1176" s="174"/>
      <c r="D1176" s="174">
        <v>4123</v>
      </c>
      <c r="E1176" s="174"/>
      <c r="F1176" s="44"/>
      <c r="G1176" s="181">
        <v>31</v>
      </c>
      <c r="H1176" s="38" t="s">
        <v>62</v>
      </c>
      <c r="I1176" s="282"/>
      <c r="J1176" s="282"/>
      <c r="K1176" s="282"/>
      <c r="L1176" s="31"/>
      <c r="M1176" s="31"/>
      <c r="N1176" s="410"/>
      <c r="O1176" s="196"/>
    </row>
    <row r="1177" spans="1:18" ht="20.100000000000001" hidden="1" customHeight="1" x14ac:dyDescent="0.25">
      <c r="A1177" s="174"/>
      <c r="B1177" s="174"/>
      <c r="C1177" s="174"/>
      <c r="D1177" s="174"/>
      <c r="E1177" s="171" t="s">
        <v>326</v>
      </c>
      <c r="F1177" s="38"/>
      <c r="G1177" s="181">
        <v>31</v>
      </c>
      <c r="H1177" s="38" t="s">
        <v>62</v>
      </c>
      <c r="I1177" s="282"/>
      <c r="J1177" s="282"/>
      <c r="K1177" s="282"/>
      <c r="L1177" s="31"/>
      <c r="M1177" s="31"/>
      <c r="N1177" s="410"/>
      <c r="O1177" s="196"/>
    </row>
    <row r="1178" spans="1:18" ht="20.100000000000001" hidden="1" customHeight="1" x14ac:dyDescent="0.25">
      <c r="A1178" s="174"/>
      <c r="B1178" s="174"/>
      <c r="C1178" s="174"/>
      <c r="D1178" s="174"/>
      <c r="E1178" s="171"/>
      <c r="F1178" s="38" t="s">
        <v>327</v>
      </c>
      <c r="G1178" s="181">
        <v>31</v>
      </c>
      <c r="H1178" s="38" t="s">
        <v>62</v>
      </c>
      <c r="I1178" s="282"/>
      <c r="J1178" s="282"/>
      <c r="K1178" s="282"/>
      <c r="L1178" s="31"/>
      <c r="M1178" s="31"/>
      <c r="N1178" s="410"/>
      <c r="O1178" s="196"/>
    </row>
    <row r="1179" spans="1:18" s="21" customFormat="1" ht="20.100000000000001" hidden="1" customHeight="1" x14ac:dyDescent="0.25">
      <c r="A1179" s="172"/>
      <c r="B1179" s="172">
        <v>42</v>
      </c>
      <c r="C1179" s="172"/>
      <c r="D1179" s="172"/>
      <c r="E1179" s="172"/>
      <c r="F1179" s="42"/>
      <c r="G1179" s="181">
        <v>31</v>
      </c>
      <c r="H1179" s="43" t="s">
        <v>63</v>
      </c>
      <c r="I1179" s="282"/>
      <c r="J1179" s="282"/>
      <c r="K1179" s="282"/>
      <c r="L1179" s="31"/>
      <c r="M1179" s="31"/>
      <c r="N1179" s="410"/>
      <c r="O1179" s="196"/>
      <c r="P1179" s="270"/>
      <c r="Q1179" s="20"/>
      <c r="R1179" s="20"/>
    </row>
    <row r="1180" spans="1:18" s="21" customFormat="1" ht="20.100000000000001" hidden="1" customHeight="1" x14ac:dyDescent="0.25">
      <c r="A1180" s="172"/>
      <c r="B1180" s="172"/>
      <c r="C1180" s="172">
        <v>422</v>
      </c>
      <c r="D1180" s="172"/>
      <c r="E1180" s="172"/>
      <c r="F1180" s="42"/>
      <c r="G1180" s="181">
        <v>31</v>
      </c>
      <c r="H1180" s="43" t="s">
        <v>362</v>
      </c>
      <c r="I1180" s="282"/>
      <c r="J1180" s="282"/>
      <c r="K1180" s="282"/>
      <c r="L1180" s="31"/>
      <c r="M1180" s="31"/>
      <c r="N1180" s="410"/>
      <c r="O1180" s="196"/>
      <c r="P1180" s="270"/>
      <c r="Q1180" s="20"/>
      <c r="R1180" s="20"/>
    </row>
    <row r="1181" spans="1:18" ht="20.100000000000001" hidden="1" customHeight="1" x14ac:dyDescent="0.25">
      <c r="A1181" s="174"/>
      <c r="B1181" s="174"/>
      <c r="C1181" s="174"/>
      <c r="D1181" s="174">
        <v>4221</v>
      </c>
      <c r="E1181" s="174"/>
      <c r="F1181" s="44"/>
      <c r="G1181" s="181">
        <v>31</v>
      </c>
      <c r="H1181" s="38" t="s">
        <v>65</v>
      </c>
      <c r="I1181" s="282"/>
      <c r="J1181" s="282"/>
      <c r="K1181" s="282"/>
      <c r="L1181" s="31"/>
      <c r="M1181" s="31"/>
      <c r="N1181" s="410"/>
      <c r="O1181" s="196"/>
    </row>
    <row r="1182" spans="1:18" ht="20.100000000000001" hidden="1" customHeight="1" x14ac:dyDescent="0.25">
      <c r="A1182" s="174"/>
      <c r="B1182" s="174"/>
      <c r="C1182" s="174"/>
      <c r="D1182" s="174"/>
      <c r="E1182" s="171" t="s">
        <v>328</v>
      </c>
      <c r="F1182" s="38"/>
      <c r="G1182" s="181">
        <v>31</v>
      </c>
      <c r="H1182" s="38" t="s">
        <v>329</v>
      </c>
      <c r="I1182" s="282"/>
      <c r="J1182" s="282"/>
      <c r="K1182" s="282"/>
      <c r="L1182" s="31"/>
      <c r="M1182" s="31"/>
      <c r="N1182" s="410"/>
      <c r="O1182" s="196"/>
    </row>
    <row r="1183" spans="1:18" ht="20.100000000000001" hidden="1" customHeight="1" x14ac:dyDescent="0.25">
      <c r="A1183" s="174"/>
      <c r="B1183" s="174"/>
      <c r="C1183" s="174"/>
      <c r="D1183" s="174"/>
      <c r="E1183" s="171"/>
      <c r="F1183" s="38" t="s">
        <v>330</v>
      </c>
      <c r="G1183" s="181">
        <v>31</v>
      </c>
      <c r="H1183" s="38" t="s">
        <v>329</v>
      </c>
      <c r="I1183" s="282"/>
      <c r="J1183" s="282"/>
      <c r="K1183" s="282"/>
      <c r="L1183" s="31"/>
      <c r="M1183" s="31"/>
      <c r="N1183" s="410"/>
      <c r="O1183" s="196"/>
    </row>
    <row r="1184" spans="1:18" ht="20.100000000000001" hidden="1" customHeight="1" x14ac:dyDescent="0.25">
      <c r="A1184" s="174"/>
      <c r="B1184" s="174"/>
      <c r="C1184" s="174"/>
      <c r="D1184" s="174"/>
      <c r="E1184" s="171" t="s">
        <v>331</v>
      </c>
      <c r="F1184" s="38"/>
      <c r="G1184" s="181">
        <v>31</v>
      </c>
      <c r="H1184" s="38" t="s">
        <v>332</v>
      </c>
      <c r="I1184" s="282"/>
      <c r="J1184" s="282"/>
      <c r="K1184" s="282"/>
      <c r="L1184" s="31"/>
      <c r="M1184" s="31"/>
      <c r="N1184" s="410"/>
      <c r="O1184" s="196"/>
    </row>
    <row r="1185" spans="1:18" ht="20.100000000000001" hidden="1" customHeight="1" x14ac:dyDescent="0.25">
      <c r="A1185" s="174"/>
      <c r="B1185" s="174"/>
      <c r="C1185" s="174"/>
      <c r="D1185" s="174"/>
      <c r="E1185" s="171"/>
      <c r="F1185" s="38" t="s">
        <v>333</v>
      </c>
      <c r="G1185" s="181">
        <v>31</v>
      </c>
      <c r="H1185" s="38" t="s">
        <v>332</v>
      </c>
      <c r="I1185" s="282"/>
      <c r="J1185" s="282"/>
      <c r="K1185" s="282"/>
      <c r="L1185" s="31"/>
      <c r="M1185" s="31"/>
      <c r="N1185" s="410"/>
      <c r="O1185" s="196"/>
    </row>
    <row r="1186" spans="1:18" ht="20.100000000000001" hidden="1" customHeight="1" x14ac:dyDescent="0.25">
      <c r="A1186" s="174"/>
      <c r="B1186" s="174"/>
      <c r="C1186" s="174"/>
      <c r="D1186" s="174">
        <v>4224</v>
      </c>
      <c r="E1186" s="174"/>
      <c r="F1186" s="44"/>
      <c r="G1186" s="181">
        <v>31</v>
      </c>
      <c r="H1186" s="38" t="s">
        <v>66</v>
      </c>
      <c r="I1186" s="282"/>
      <c r="J1186" s="282"/>
      <c r="K1186" s="282"/>
      <c r="L1186" s="31"/>
      <c r="M1186" s="31"/>
      <c r="N1186" s="410"/>
      <c r="O1186" s="196"/>
    </row>
    <row r="1187" spans="1:18" ht="20.100000000000001" hidden="1" customHeight="1" x14ac:dyDescent="0.25">
      <c r="A1187" s="174"/>
      <c r="B1187" s="174"/>
      <c r="C1187" s="174"/>
      <c r="D1187" s="174"/>
      <c r="E1187" s="171" t="s">
        <v>334</v>
      </c>
      <c r="F1187" s="38"/>
      <c r="G1187" s="181">
        <v>31</v>
      </c>
      <c r="H1187" s="38" t="s">
        <v>335</v>
      </c>
      <c r="I1187" s="282"/>
      <c r="J1187" s="282"/>
      <c r="K1187" s="282"/>
      <c r="L1187" s="31"/>
      <c r="M1187" s="31"/>
      <c r="N1187" s="410"/>
      <c r="O1187" s="196"/>
    </row>
    <row r="1188" spans="1:18" ht="20.100000000000001" hidden="1" customHeight="1" x14ac:dyDescent="0.25">
      <c r="A1188" s="174"/>
      <c r="B1188" s="174"/>
      <c r="C1188" s="174"/>
      <c r="D1188" s="174"/>
      <c r="E1188" s="171"/>
      <c r="F1188" s="38" t="s">
        <v>336</v>
      </c>
      <c r="G1188" s="181">
        <v>31</v>
      </c>
      <c r="H1188" s="38" t="s">
        <v>335</v>
      </c>
      <c r="I1188" s="282"/>
      <c r="J1188" s="282"/>
      <c r="K1188" s="282"/>
      <c r="L1188" s="31"/>
      <c r="M1188" s="31"/>
      <c r="N1188" s="410"/>
      <c r="O1188" s="196"/>
    </row>
    <row r="1189" spans="1:18" ht="20.100000000000001" hidden="1" customHeight="1" x14ac:dyDescent="0.25">
      <c r="A1189" s="174"/>
      <c r="B1189" s="174"/>
      <c r="C1189" s="174"/>
      <c r="D1189" s="174"/>
      <c r="E1189" s="171" t="s">
        <v>337</v>
      </c>
      <c r="F1189" s="38"/>
      <c r="G1189" s="181">
        <v>31</v>
      </c>
      <c r="H1189" s="38" t="s">
        <v>338</v>
      </c>
      <c r="I1189" s="282"/>
      <c r="J1189" s="282"/>
      <c r="K1189" s="282"/>
      <c r="L1189" s="31"/>
      <c r="M1189" s="31"/>
      <c r="N1189" s="410"/>
      <c r="O1189" s="196"/>
    </row>
    <row r="1190" spans="1:18" ht="20.100000000000001" hidden="1" customHeight="1" x14ac:dyDescent="0.25">
      <c r="A1190" s="174"/>
      <c r="B1190" s="174"/>
      <c r="C1190" s="174"/>
      <c r="D1190" s="174"/>
      <c r="E1190" s="171"/>
      <c r="F1190" s="38" t="s">
        <v>339</v>
      </c>
      <c r="G1190" s="181">
        <v>31</v>
      </c>
      <c r="H1190" s="38" t="s">
        <v>338</v>
      </c>
      <c r="I1190" s="282"/>
      <c r="J1190" s="282"/>
      <c r="K1190" s="282"/>
      <c r="L1190" s="31"/>
      <c r="M1190" s="31"/>
      <c r="N1190" s="410"/>
      <c r="O1190" s="196"/>
    </row>
    <row r="1191" spans="1:18" ht="24.75" customHeight="1" x14ac:dyDescent="0.25">
      <c r="A1191" s="239"/>
      <c r="B1191" s="239"/>
      <c r="C1191" s="239"/>
      <c r="D1191" s="239"/>
      <c r="E1191" s="239"/>
      <c r="F1191" s="240"/>
      <c r="G1191" s="240"/>
      <c r="H1191" s="240" t="s">
        <v>540</v>
      </c>
      <c r="I1191" s="285"/>
      <c r="J1191" s="285"/>
      <c r="K1191" s="285"/>
      <c r="L1191" s="58"/>
      <c r="M1191" s="58"/>
      <c r="N1191" s="410"/>
      <c r="O1191" s="196"/>
    </row>
    <row r="1192" spans="1:18" ht="20.100000000000001" customHeight="1" x14ac:dyDescent="0.25">
      <c r="A1192" s="345"/>
      <c r="B1192" s="345"/>
      <c r="C1192" s="345"/>
      <c r="D1192" s="345"/>
      <c r="E1192" s="345"/>
      <c r="F1192" s="313"/>
      <c r="G1192" s="313"/>
      <c r="H1192" s="354" t="s">
        <v>377</v>
      </c>
      <c r="I1192" s="316"/>
      <c r="J1192" s="316"/>
      <c r="K1192" s="391"/>
      <c r="L1192" s="59"/>
      <c r="M1192" s="59"/>
      <c r="N1192" s="410"/>
      <c r="O1192" s="196"/>
    </row>
    <row r="1193" spans="1:18" s="21" customFormat="1" ht="20.100000000000001" customHeight="1" x14ac:dyDescent="0.25">
      <c r="A1193" s="172">
        <v>3</v>
      </c>
      <c r="B1193" s="172"/>
      <c r="C1193" s="172"/>
      <c r="D1193" s="172"/>
      <c r="E1193" s="172"/>
      <c r="F1193" s="42"/>
      <c r="G1193" s="181"/>
      <c r="H1193" s="43" t="s">
        <v>81</v>
      </c>
      <c r="I1193" s="281">
        <f t="shared" ref="I1193:K1193" si="198">I1194+I1213</f>
        <v>39817</v>
      </c>
      <c r="J1193" s="281">
        <f t="shared" si="198"/>
        <v>0</v>
      </c>
      <c r="K1193" s="281">
        <f t="shared" si="198"/>
        <v>39817</v>
      </c>
      <c r="L1193" s="40">
        <f>L1194+L1213</f>
        <v>310000</v>
      </c>
      <c r="M1193" s="40">
        <f>M1194+M1213</f>
        <v>310000</v>
      </c>
      <c r="N1193" s="410"/>
      <c r="O1193" s="196"/>
      <c r="P1193" s="270"/>
      <c r="Q1193" s="20"/>
      <c r="R1193" s="20"/>
    </row>
    <row r="1194" spans="1:18" s="21" customFormat="1" ht="20.100000000000001" customHeight="1" x14ac:dyDescent="0.25">
      <c r="A1194" s="172"/>
      <c r="B1194" s="172">
        <v>31</v>
      </c>
      <c r="C1194" s="172"/>
      <c r="D1194" s="172"/>
      <c r="E1194" s="172"/>
      <c r="F1194" s="42"/>
      <c r="G1194" s="181" t="s">
        <v>485</v>
      </c>
      <c r="H1194" s="43" t="s">
        <v>13</v>
      </c>
      <c r="I1194" s="281">
        <f>I1195+I1204</f>
        <v>18187</v>
      </c>
      <c r="J1194" s="281">
        <f>J1195+J1204</f>
        <v>0</v>
      </c>
      <c r="K1194" s="281">
        <f>K1195+K1204</f>
        <v>18187</v>
      </c>
      <c r="L1194" s="31">
        <f>L1195+L1204</f>
        <v>156000</v>
      </c>
      <c r="M1194" s="31">
        <f>M1195+M1204</f>
        <v>156000</v>
      </c>
      <c r="N1194" s="410"/>
      <c r="O1194" s="196"/>
      <c r="P1194" s="270"/>
      <c r="Q1194" s="20"/>
      <c r="R1194" s="20"/>
    </row>
    <row r="1195" spans="1:18" s="150" customFormat="1" ht="20.100000000000001" hidden="1" customHeight="1" x14ac:dyDescent="0.25">
      <c r="A1195" s="176"/>
      <c r="B1195" s="176"/>
      <c r="C1195" s="172">
        <v>311</v>
      </c>
      <c r="D1195" s="172"/>
      <c r="E1195" s="172"/>
      <c r="F1195" s="42"/>
      <c r="G1195" s="181" t="s">
        <v>485</v>
      </c>
      <c r="H1195" s="43" t="s">
        <v>14</v>
      </c>
      <c r="I1195" s="281">
        <f>I1196+I1199</f>
        <v>15637</v>
      </c>
      <c r="J1195" s="281">
        <f>J1196+J1199</f>
        <v>0</v>
      </c>
      <c r="K1195" s="281">
        <f>K1196+K1199</f>
        <v>15637</v>
      </c>
      <c r="L1195" s="148">
        <f>L1196+L1199</f>
        <v>134000</v>
      </c>
      <c r="M1195" s="148">
        <f>M1196+M1199</f>
        <v>134000</v>
      </c>
      <c r="N1195" s="410"/>
      <c r="O1195" s="196"/>
      <c r="P1195" s="270"/>
      <c r="Q1195" s="149"/>
      <c r="R1195" s="149"/>
    </row>
    <row r="1196" spans="1:18" ht="20.100000000000001" hidden="1" customHeight="1" x14ac:dyDescent="0.25">
      <c r="A1196" s="174"/>
      <c r="B1196" s="174"/>
      <c r="C1196" s="174"/>
      <c r="D1196" s="174">
        <v>3111</v>
      </c>
      <c r="E1196" s="174"/>
      <c r="F1196" s="44"/>
      <c r="G1196" s="181" t="s">
        <v>485</v>
      </c>
      <c r="H1196" s="38" t="s">
        <v>15</v>
      </c>
      <c r="I1196" s="282">
        <f t="shared" ref="I1196:M1197" si="199">I1197</f>
        <v>14207</v>
      </c>
      <c r="J1196" s="282">
        <f t="shared" si="199"/>
        <v>0</v>
      </c>
      <c r="K1196" s="282">
        <f t="shared" si="199"/>
        <v>14207</v>
      </c>
      <c r="L1196" s="34">
        <f t="shared" si="199"/>
        <v>121000</v>
      </c>
      <c r="M1196" s="34">
        <f t="shared" si="199"/>
        <v>121000</v>
      </c>
      <c r="N1196" s="410"/>
      <c r="O1196" s="196"/>
    </row>
    <row r="1197" spans="1:18" ht="20.100000000000001" hidden="1" customHeight="1" x14ac:dyDescent="0.25">
      <c r="A1197" s="174"/>
      <c r="B1197" s="174"/>
      <c r="C1197" s="174"/>
      <c r="D1197" s="174"/>
      <c r="E1197" s="171" t="s">
        <v>290</v>
      </c>
      <c r="F1197" s="38"/>
      <c r="G1197" s="181" t="s">
        <v>485</v>
      </c>
      <c r="H1197" s="38" t="s">
        <v>291</v>
      </c>
      <c r="I1197" s="282">
        <f t="shared" si="199"/>
        <v>14207</v>
      </c>
      <c r="J1197" s="282">
        <f t="shared" si="199"/>
        <v>0</v>
      </c>
      <c r="K1197" s="282">
        <f t="shared" si="199"/>
        <v>14207</v>
      </c>
      <c r="L1197" s="34">
        <f t="shared" si="199"/>
        <v>121000</v>
      </c>
      <c r="M1197" s="34">
        <f t="shared" si="199"/>
        <v>121000</v>
      </c>
      <c r="N1197" s="410"/>
      <c r="O1197" s="196"/>
      <c r="P1197" s="276"/>
      <c r="Q1197" s="37"/>
      <c r="R1197" s="35"/>
    </row>
    <row r="1198" spans="1:18" ht="20.100000000000001" hidden="1" customHeight="1" x14ac:dyDescent="0.25">
      <c r="A1198" s="174"/>
      <c r="B1198" s="174"/>
      <c r="C1198" s="174"/>
      <c r="D1198" s="174"/>
      <c r="E1198" s="171"/>
      <c r="F1198" s="38" t="s">
        <v>292</v>
      </c>
      <c r="G1198" s="181" t="s">
        <v>485</v>
      </c>
      <c r="H1198" s="38" t="s">
        <v>291</v>
      </c>
      <c r="I1198" s="282">
        <v>14207</v>
      </c>
      <c r="J1198" s="282">
        <f>K1198-I1198</f>
        <v>0</v>
      </c>
      <c r="K1198" s="282">
        <v>14207</v>
      </c>
      <c r="L1198" s="34">
        <v>121000</v>
      </c>
      <c r="M1198" s="34">
        <v>121000</v>
      </c>
      <c r="N1198" s="410"/>
      <c r="O1198" s="196"/>
      <c r="P1198" s="276"/>
      <c r="Q1198" s="37"/>
      <c r="R1198" s="35"/>
    </row>
    <row r="1199" spans="1:18" ht="20.100000000000001" hidden="1" customHeight="1" x14ac:dyDescent="0.25">
      <c r="A1199" s="174"/>
      <c r="B1199" s="174"/>
      <c r="C1199" s="174"/>
      <c r="D1199" s="174">
        <v>3114</v>
      </c>
      <c r="E1199" s="174"/>
      <c r="F1199" s="44"/>
      <c r="G1199" s="181" t="s">
        <v>485</v>
      </c>
      <c r="H1199" s="38" t="s">
        <v>17</v>
      </c>
      <c r="I1199" s="282">
        <f t="shared" ref="I1199:M1200" si="200">I1200</f>
        <v>1430</v>
      </c>
      <c r="J1199" s="282">
        <f t="shared" si="200"/>
        <v>0</v>
      </c>
      <c r="K1199" s="282">
        <f t="shared" si="200"/>
        <v>1430</v>
      </c>
      <c r="L1199" s="34">
        <f t="shared" si="200"/>
        <v>13000</v>
      </c>
      <c r="M1199" s="34">
        <f t="shared" si="200"/>
        <v>13000</v>
      </c>
      <c r="N1199" s="410"/>
      <c r="O1199" s="196"/>
    </row>
    <row r="1200" spans="1:18" ht="20.100000000000001" hidden="1" customHeight="1" x14ac:dyDescent="0.25">
      <c r="A1200" s="174"/>
      <c r="B1200" s="174"/>
      <c r="C1200" s="174"/>
      <c r="D1200" s="174"/>
      <c r="E1200" s="171" t="s">
        <v>295</v>
      </c>
      <c r="F1200" s="38"/>
      <c r="G1200" s="181" t="s">
        <v>485</v>
      </c>
      <c r="H1200" s="38" t="s">
        <v>17</v>
      </c>
      <c r="I1200" s="282">
        <f t="shared" si="200"/>
        <v>1430</v>
      </c>
      <c r="J1200" s="282">
        <f t="shared" si="200"/>
        <v>0</v>
      </c>
      <c r="K1200" s="282">
        <f t="shared" si="200"/>
        <v>1430</v>
      </c>
      <c r="L1200" s="34">
        <f t="shared" si="200"/>
        <v>13000</v>
      </c>
      <c r="M1200" s="34">
        <f t="shared" si="200"/>
        <v>13000</v>
      </c>
      <c r="N1200" s="410"/>
      <c r="O1200" s="196"/>
    </row>
    <row r="1201" spans="1:18" ht="20.100000000000001" hidden="1" customHeight="1" x14ac:dyDescent="0.25">
      <c r="A1201" s="174"/>
      <c r="B1201" s="174"/>
      <c r="C1201" s="174"/>
      <c r="D1201" s="174"/>
      <c r="E1201" s="171"/>
      <c r="F1201" s="38" t="s">
        <v>296</v>
      </c>
      <c r="G1201" s="181" t="s">
        <v>485</v>
      </c>
      <c r="H1201" s="38" t="s">
        <v>17</v>
      </c>
      <c r="I1201" s="282">
        <v>1430</v>
      </c>
      <c r="J1201" s="282">
        <f>K1201-I1201</f>
        <v>0</v>
      </c>
      <c r="K1201" s="282">
        <v>1430</v>
      </c>
      <c r="L1201" s="34">
        <v>13000</v>
      </c>
      <c r="M1201" s="34">
        <v>13000</v>
      </c>
      <c r="N1201" s="410"/>
      <c r="O1201" s="196"/>
    </row>
    <row r="1202" spans="1:18" s="21" customFormat="1" ht="20.100000000000001" hidden="1" customHeight="1" x14ac:dyDescent="0.25">
      <c r="A1202" s="172"/>
      <c r="B1202" s="172"/>
      <c r="C1202" s="172">
        <v>312</v>
      </c>
      <c r="D1202" s="172"/>
      <c r="E1202" s="173"/>
      <c r="F1202" s="43"/>
      <c r="G1202" s="181" t="s">
        <v>485</v>
      </c>
      <c r="H1202" s="43" t="s">
        <v>18</v>
      </c>
      <c r="I1202" s="282">
        <f>I1203</f>
        <v>0</v>
      </c>
      <c r="J1202" s="282">
        <f>J1203</f>
        <v>0</v>
      </c>
      <c r="K1202" s="282">
        <f>K1203</f>
        <v>0</v>
      </c>
      <c r="L1202" s="31"/>
      <c r="M1202" s="31"/>
      <c r="N1202" s="410"/>
      <c r="O1202" s="196"/>
      <c r="P1202" s="270"/>
      <c r="Q1202" s="20"/>
      <c r="R1202" s="29"/>
    </row>
    <row r="1203" spans="1:18" ht="20.100000000000001" hidden="1" customHeight="1" x14ac:dyDescent="0.25">
      <c r="A1203" s="174"/>
      <c r="B1203" s="174"/>
      <c r="C1203" s="174"/>
      <c r="D1203" s="174">
        <v>3121</v>
      </c>
      <c r="E1203" s="171"/>
      <c r="F1203" s="38"/>
      <c r="G1203" s="181" t="s">
        <v>485</v>
      </c>
      <c r="H1203" s="38" t="s">
        <v>18</v>
      </c>
      <c r="I1203" s="282">
        <v>0</v>
      </c>
      <c r="J1203" s="282">
        <v>0</v>
      </c>
      <c r="K1203" s="282">
        <v>0</v>
      </c>
      <c r="L1203" s="31"/>
      <c r="M1203" s="31"/>
      <c r="N1203" s="410"/>
      <c r="O1203" s="196"/>
      <c r="R1203" s="35"/>
    </row>
    <row r="1204" spans="1:18" s="150" customFormat="1" ht="20.100000000000001" hidden="1" customHeight="1" x14ac:dyDescent="0.25">
      <c r="A1204" s="176"/>
      <c r="B1204" s="176"/>
      <c r="C1204" s="172">
        <v>313</v>
      </c>
      <c r="D1204" s="172"/>
      <c r="E1204" s="172"/>
      <c r="F1204" s="42"/>
      <c r="G1204" s="181" t="s">
        <v>485</v>
      </c>
      <c r="H1204" s="43" t="s">
        <v>100</v>
      </c>
      <c r="I1204" s="281">
        <f>I1205+I1210</f>
        <v>2550</v>
      </c>
      <c r="J1204" s="281">
        <f>J1205+J1210</f>
        <v>0</v>
      </c>
      <c r="K1204" s="281">
        <f>K1205+K1210</f>
        <v>2550</v>
      </c>
      <c r="L1204" s="148">
        <f>L1205+L1210</f>
        <v>22000</v>
      </c>
      <c r="M1204" s="148">
        <f>M1205+M1210</f>
        <v>22000</v>
      </c>
      <c r="N1204" s="410"/>
      <c r="O1204" s="196"/>
      <c r="P1204" s="270"/>
      <c r="Q1204" s="149"/>
      <c r="R1204" s="149"/>
    </row>
    <row r="1205" spans="1:18" ht="27.75" hidden="1" customHeight="1" x14ac:dyDescent="0.25">
      <c r="A1205" s="174"/>
      <c r="B1205" s="174"/>
      <c r="C1205" s="174"/>
      <c r="D1205" s="174">
        <v>3132</v>
      </c>
      <c r="E1205" s="174"/>
      <c r="F1205" s="44"/>
      <c r="G1205" s="181" t="s">
        <v>485</v>
      </c>
      <c r="H1205" s="38" t="s">
        <v>20</v>
      </c>
      <c r="I1205" s="282">
        <f>I1206+I1208</f>
        <v>2550</v>
      </c>
      <c r="J1205" s="282">
        <f>J1206+J1208</f>
        <v>0</v>
      </c>
      <c r="K1205" s="282">
        <f>K1206+K1208</f>
        <v>2550</v>
      </c>
      <c r="L1205" s="34">
        <f>L1206+L1208</f>
        <v>20500</v>
      </c>
      <c r="M1205" s="34">
        <f>M1206+M1208</f>
        <v>20500</v>
      </c>
      <c r="N1205" s="410"/>
      <c r="O1205" s="196"/>
      <c r="R1205" s="35"/>
    </row>
    <row r="1206" spans="1:18" ht="31.5" hidden="1" customHeight="1" x14ac:dyDescent="0.25">
      <c r="A1206" s="174"/>
      <c r="B1206" s="174"/>
      <c r="C1206" s="174"/>
      <c r="D1206" s="174"/>
      <c r="E1206" s="171" t="s">
        <v>300</v>
      </c>
      <c r="F1206" s="38"/>
      <c r="G1206" s="181" t="s">
        <v>485</v>
      </c>
      <c r="H1206" s="38" t="s">
        <v>20</v>
      </c>
      <c r="I1206" s="282">
        <f>I1207</f>
        <v>2550</v>
      </c>
      <c r="J1206" s="282">
        <f>J1207</f>
        <v>0</v>
      </c>
      <c r="K1206" s="282">
        <f>K1207</f>
        <v>2550</v>
      </c>
      <c r="L1206" s="34">
        <f>L1207</f>
        <v>20000</v>
      </c>
      <c r="M1206" s="34">
        <f>M1207</f>
        <v>20000</v>
      </c>
      <c r="N1206" s="410"/>
      <c r="O1206" s="196"/>
    </row>
    <row r="1207" spans="1:18" ht="20.100000000000001" hidden="1" customHeight="1" x14ac:dyDescent="0.25">
      <c r="A1207" s="174"/>
      <c r="B1207" s="174"/>
      <c r="C1207" s="174"/>
      <c r="D1207" s="174"/>
      <c r="E1207" s="171"/>
      <c r="F1207" s="38" t="s">
        <v>301</v>
      </c>
      <c r="G1207" s="181" t="s">
        <v>485</v>
      </c>
      <c r="H1207" s="38" t="s">
        <v>20</v>
      </c>
      <c r="I1207" s="282">
        <v>2550</v>
      </c>
      <c r="J1207" s="282">
        <f>K1207-I1207</f>
        <v>0</v>
      </c>
      <c r="K1207" s="282">
        <v>2550</v>
      </c>
      <c r="L1207" s="34">
        <v>20000</v>
      </c>
      <c r="M1207" s="34">
        <v>20000</v>
      </c>
      <c r="N1207" s="410"/>
      <c r="O1207" s="196"/>
    </row>
    <row r="1208" spans="1:18" ht="30" hidden="1" customHeight="1" x14ac:dyDescent="0.25">
      <c r="A1208" s="174"/>
      <c r="B1208" s="174"/>
      <c r="C1208" s="174"/>
      <c r="D1208" s="174"/>
      <c r="E1208" s="171" t="s">
        <v>302</v>
      </c>
      <c r="F1208" s="38"/>
      <c r="G1208" s="181" t="s">
        <v>466</v>
      </c>
      <c r="H1208" s="38" t="s">
        <v>101</v>
      </c>
      <c r="I1208" s="282">
        <f>I1209</f>
        <v>0</v>
      </c>
      <c r="J1208" s="282">
        <f>J1209</f>
        <v>0</v>
      </c>
      <c r="K1208" s="282">
        <f>K1209</f>
        <v>0</v>
      </c>
      <c r="L1208" s="34">
        <f>L1209</f>
        <v>500</v>
      </c>
      <c r="M1208" s="34">
        <f>M1209</f>
        <v>500</v>
      </c>
      <c r="N1208" s="410"/>
      <c r="O1208" s="196"/>
      <c r="R1208" s="35"/>
    </row>
    <row r="1209" spans="1:18" ht="30" hidden="1" customHeight="1" x14ac:dyDescent="0.25">
      <c r="A1209" s="174"/>
      <c r="B1209" s="174"/>
      <c r="C1209" s="174"/>
      <c r="D1209" s="174"/>
      <c r="E1209" s="171"/>
      <c r="F1209" s="38" t="s">
        <v>303</v>
      </c>
      <c r="G1209" s="181" t="s">
        <v>466</v>
      </c>
      <c r="H1209" s="38" t="s">
        <v>101</v>
      </c>
      <c r="I1209" s="282">
        <v>0</v>
      </c>
      <c r="J1209" s="282">
        <f>K1209-I1209</f>
        <v>0</v>
      </c>
      <c r="K1209" s="282">
        <v>0</v>
      </c>
      <c r="L1209" s="34">
        <v>500</v>
      </c>
      <c r="M1209" s="34">
        <v>500</v>
      </c>
      <c r="N1209" s="410"/>
      <c r="O1209" s="196"/>
      <c r="R1209" s="35"/>
    </row>
    <row r="1210" spans="1:18" ht="30.75" hidden="1" customHeight="1" x14ac:dyDescent="0.25">
      <c r="A1210" s="174"/>
      <c r="B1210" s="174"/>
      <c r="C1210" s="174"/>
      <c r="D1210" s="174">
        <v>3133</v>
      </c>
      <c r="E1210" s="174"/>
      <c r="F1210" s="44"/>
      <c r="G1210" s="181" t="s">
        <v>466</v>
      </c>
      <c r="H1210" s="38" t="s">
        <v>21</v>
      </c>
      <c r="I1210" s="282">
        <f t="shared" ref="I1210:M1211" si="201">I1211</f>
        <v>0</v>
      </c>
      <c r="J1210" s="282">
        <f t="shared" si="201"/>
        <v>0</v>
      </c>
      <c r="K1210" s="282">
        <f t="shared" si="201"/>
        <v>0</v>
      </c>
      <c r="L1210" s="34">
        <f t="shared" si="201"/>
        <v>1500</v>
      </c>
      <c r="M1210" s="34">
        <f t="shared" si="201"/>
        <v>1500</v>
      </c>
      <c r="N1210" s="410"/>
      <c r="O1210" s="196"/>
      <c r="R1210" s="35"/>
    </row>
    <row r="1211" spans="1:18" ht="30" hidden="1" customHeight="1" x14ac:dyDescent="0.25">
      <c r="A1211" s="174"/>
      <c r="B1211" s="174"/>
      <c r="C1211" s="174"/>
      <c r="D1211" s="174"/>
      <c r="E1211" s="171" t="s">
        <v>304</v>
      </c>
      <c r="F1211" s="38"/>
      <c r="G1211" s="181" t="s">
        <v>466</v>
      </c>
      <c r="H1211" s="38" t="s">
        <v>21</v>
      </c>
      <c r="I1211" s="282">
        <f t="shared" si="201"/>
        <v>0</v>
      </c>
      <c r="J1211" s="282">
        <f t="shared" si="201"/>
        <v>0</v>
      </c>
      <c r="K1211" s="282">
        <f t="shared" si="201"/>
        <v>0</v>
      </c>
      <c r="L1211" s="34">
        <f t="shared" si="201"/>
        <v>1500</v>
      </c>
      <c r="M1211" s="34">
        <f t="shared" si="201"/>
        <v>1500</v>
      </c>
      <c r="N1211" s="410"/>
      <c r="O1211" s="196"/>
    </row>
    <row r="1212" spans="1:18" ht="30" hidden="1" customHeight="1" x14ac:dyDescent="0.25">
      <c r="A1212" s="174"/>
      <c r="B1212" s="174"/>
      <c r="C1212" s="174"/>
      <c r="D1212" s="174"/>
      <c r="E1212" s="171"/>
      <c r="F1212" s="38" t="s">
        <v>305</v>
      </c>
      <c r="G1212" s="181" t="s">
        <v>466</v>
      </c>
      <c r="H1212" s="38" t="s">
        <v>21</v>
      </c>
      <c r="I1212" s="282">
        <v>0</v>
      </c>
      <c r="J1212" s="282">
        <f>K1212-I1212</f>
        <v>0</v>
      </c>
      <c r="K1212" s="282">
        <v>0</v>
      </c>
      <c r="L1212" s="34">
        <v>1500</v>
      </c>
      <c r="M1212" s="34">
        <v>1500</v>
      </c>
      <c r="N1212" s="410"/>
      <c r="O1212" s="196"/>
    </row>
    <row r="1213" spans="1:18" s="21" customFormat="1" ht="20.100000000000001" customHeight="1" x14ac:dyDescent="0.25">
      <c r="A1213" s="172"/>
      <c r="B1213" s="172">
        <v>32</v>
      </c>
      <c r="C1213" s="172"/>
      <c r="D1213" s="172"/>
      <c r="E1213" s="172"/>
      <c r="F1213" s="42"/>
      <c r="G1213" s="181" t="s">
        <v>485</v>
      </c>
      <c r="H1213" s="43" t="s">
        <v>22</v>
      </c>
      <c r="I1213" s="281">
        <f t="shared" ref="I1213:K1213" si="202">I1214+I1230+I1254+I1283</f>
        <v>21630</v>
      </c>
      <c r="J1213" s="281">
        <f t="shared" si="202"/>
        <v>0</v>
      </c>
      <c r="K1213" s="281">
        <f t="shared" si="202"/>
        <v>21630</v>
      </c>
      <c r="L1213" s="31">
        <f>L1214+L1230+L1254</f>
        <v>154000</v>
      </c>
      <c r="M1213" s="31">
        <f>M1214+M1230+M1254</f>
        <v>154000</v>
      </c>
      <c r="N1213" s="410"/>
      <c r="O1213" s="196"/>
      <c r="P1213" s="270"/>
      <c r="Q1213" s="20"/>
      <c r="R1213" s="29"/>
    </row>
    <row r="1214" spans="1:18" s="150" customFormat="1" ht="20.100000000000001" hidden="1" customHeight="1" x14ac:dyDescent="0.25">
      <c r="A1214" s="176"/>
      <c r="B1214" s="176"/>
      <c r="C1214" s="172">
        <v>321</v>
      </c>
      <c r="D1214" s="172"/>
      <c r="E1214" s="172"/>
      <c r="F1214" s="42"/>
      <c r="G1214" s="181" t="s">
        <v>485</v>
      </c>
      <c r="H1214" s="43" t="s">
        <v>23</v>
      </c>
      <c r="I1214" s="281">
        <f>I1215+I1224</f>
        <v>315</v>
      </c>
      <c r="J1214" s="281">
        <f>J1215+J1224</f>
        <v>700</v>
      </c>
      <c r="K1214" s="281">
        <f>K1215+K1224</f>
        <v>1015</v>
      </c>
      <c r="L1214" s="156">
        <f>L1215+L1224</f>
        <v>1700</v>
      </c>
      <c r="M1214" s="156">
        <f>M1215+M1224</f>
        <v>1700</v>
      </c>
      <c r="N1214" s="410"/>
      <c r="O1214" s="196"/>
      <c r="P1214" s="270"/>
      <c r="Q1214" s="149"/>
      <c r="R1214" s="155"/>
    </row>
    <row r="1215" spans="1:18" ht="20.100000000000001" hidden="1" customHeight="1" x14ac:dyDescent="0.25">
      <c r="A1215" s="174"/>
      <c r="B1215" s="174"/>
      <c r="C1215" s="174"/>
      <c r="D1215" s="174">
        <v>3211</v>
      </c>
      <c r="E1215" s="174"/>
      <c r="F1215" s="44"/>
      <c r="G1215" s="181" t="s">
        <v>485</v>
      </c>
      <c r="H1215" s="38" t="s">
        <v>24</v>
      </c>
      <c r="I1215" s="282">
        <f>I1216+I1218</f>
        <v>115</v>
      </c>
      <c r="J1215" s="282">
        <f>J1216+J1218</f>
        <v>520</v>
      </c>
      <c r="K1215" s="282">
        <f>K1216+K1218</f>
        <v>635</v>
      </c>
      <c r="L1215" s="34">
        <f t="shared" ref="I1215:M1216" si="203">L1216</f>
        <v>600</v>
      </c>
      <c r="M1215" s="34">
        <f t="shared" si="203"/>
        <v>600</v>
      </c>
      <c r="N1215" s="410"/>
      <c r="O1215" s="196"/>
      <c r="R1215" s="35"/>
    </row>
    <row r="1216" spans="1:18" ht="20.100000000000001" hidden="1" customHeight="1" x14ac:dyDescent="0.25">
      <c r="A1216" s="174"/>
      <c r="B1216" s="174"/>
      <c r="C1216" s="174"/>
      <c r="D1216" s="174"/>
      <c r="E1216" s="171" t="s">
        <v>306</v>
      </c>
      <c r="F1216" s="38"/>
      <c r="G1216" s="181" t="s">
        <v>485</v>
      </c>
      <c r="H1216" s="38" t="s">
        <v>102</v>
      </c>
      <c r="I1216" s="282">
        <f t="shared" si="203"/>
        <v>50</v>
      </c>
      <c r="J1216" s="282">
        <f t="shared" si="203"/>
        <v>0</v>
      </c>
      <c r="K1216" s="282">
        <f t="shared" si="203"/>
        <v>50</v>
      </c>
      <c r="L1216" s="34">
        <f t="shared" si="203"/>
        <v>600</v>
      </c>
      <c r="M1216" s="34">
        <f t="shared" si="203"/>
        <v>600</v>
      </c>
      <c r="N1216" s="410"/>
      <c r="O1216" s="196"/>
    </row>
    <row r="1217" spans="1:18" ht="20.100000000000001" hidden="1" customHeight="1" x14ac:dyDescent="0.25">
      <c r="A1217" s="174"/>
      <c r="B1217" s="174"/>
      <c r="C1217" s="174"/>
      <c r="D1217" s="174"/>
      <c r="E1217" s="171"/>
      <c r="F1217" s="38" t="s">
        <v>307</v>
      </c>
      <c r="G1217" s="181" t="s">
        <v>485</v>
      </c>
      <c r="H1217" s="38" t="s">
        <v>102</v>
      </c>
      <c r="I1217" s="282">
        <v>50</v>
      </c>
      <c r="J1217" s="282">
        <f>K1217-I1217</f>
        <v>0</v>
      </c>
      <c r="K1217" s="282">
        <v>50</v>
      </c>
      <c r="L1217" s="34">
        <v>600</v>
      </c>
      <c r="M1217" s="34">
        <v>600</v>
      </c>
      <c r="N1217" s="410"/>
      <c r="O1217" s="196"/>
    </row>
    <row r="1218" spans="1:18" ht="30" hidden="1" customHeight="1" x14ac:dyDescent="0.25">
      <c r="A1218" s="174"/>
      <c r="B1218" s="174"/>
      <c r="C1218" s="174"/>
      <c r="D1218" s="174"/>
      <c r="E1218" s="171" t="s">
        <v>308</v>
      </c>
      <c r="F1218" s="38"/>
      <c r="G1218" s="181" t="s">
        <v>485</v>
      </c>
      <c r="H1218" s="38" t="s">
        <v>103</v>
      </c>
      <c r="I1218" s="282">
        <f t="shared" ref="I1218:K1218" si="204">I1219</f>
        <v>65</v>
      </c>
      <c r="J1218" s="282">
        <f t="shared" si="204"/>
        <v>520</v>
      </c>
      <c r="K1218" s="282">
        <f t="shared" si="204"/>
        <v>585</v>
      </c>
      <c r="L1218" s="34"/>
      <c r="M1218" s="34"/>
      <c r="N1218" s="410"/>
      <c r="O1218" s="196"/>
      <c r="R1218" s="35"/>
    </row>
    <row r="1219" spans="1:18" ht="30" hidden="1" customHeight="1" x14ac:dyDescent="0.25">
      <c r="A1219" s="174"/>
      <c r="B1219" s="174"/>
      <c r="C1219" s="174"/>
      <c r="D1219" s="174"/>
      <c r="E1219" s="171"/>
      <c r="F1219" s="38" t="s">
        <v>309</v>
      </c>
      <c r="G1219" s="181" t="s">
        <v>485</v>
      </c>
      <c r="H1219" s="38" t="s">
        <v>103</v>
      </c>
      <c r="I1219" s="282">
        <v>65</v>
      </c>
      <c r="J1219" s="282">
        <f>K1219-I1219</f>
        <v>520</v>
      </c>
      <c r="K1219" s="282">
        <v>585</v>
      </c>
      <c r="L1219" s="34"/>
      <c r="M1219" s="34"/>
      <c r="N1219" s="410"/>
      <c r="O1219" s="196"/>
      <c r="R1219" s="35"/>
    </row>
    <row r="1220" spans="1:18" ht="30" hidden="1" customHeight="1" x14ac:dyDescent="0.25">
      <c r="A1220" s="174"/>
      <c r="B1220" s="174"/>
      <c r="C1220" s="174"/>
      <c r="D1220" s="174"/>
      <c r="E1220" s="171" t="s">
        <v>310</v>
      </c>
      <c r="F1220" s="38"/>
      <c r="G1220" s="181" t="s">
        <v>466</v>
      </c>
      <c r="H1220" s="38" t="s">
        <v>351</v>
      </c>
      <c r="I1220" s="282"/>
      <c r="J1220" s="282"/>
      <c r="K1220" s="282"/>
      <c r="L1220" s="34"/>
      <c r="M1220" s="34"/>
      <c r="N1220" s="410"/>
      <c r="O1220" s="196"/>
      <c r="R1220" s="35"/>
    </row>
    <row r="1221" spans="1:18" ht="30" hidden="1" customHeight="1" x14ac:dyDescent="0.25">
      <c r="A1221" s="174"/>
      <c r="B1221" s="174"/>
      <c r="C1221" s="174"/>
      <c r="D1221" s="174"/>
      <c r="E1221" s="171"/>
      <c r="F1221" s="38" t="s">
        <v>311</v>
      </c>
      <c r="G1221" s="181" t="s">
        <v>466</v>
      </c>
      <c r="H1221" s="38" t="s">
        <v>351</v>
      </c>
      <c r="I1221" s="282"/>
      <c r="J1221" s="282"/>
      <c r="K1221" s="282"/>
      <c r="L1221" s="34"/>
      <c r="M1221" s="34"/>
      <c r="N1221" s="410"/>
      <c r="O1221" s="196"/>
      <c r="R1221" s="35"/>
    </row>
    <row r="1222" spans="1:18" ht="20.100000000000001" hidden="1" customHeight="1" x14ac:dyDescent="0.25">
      <c r="A1222" s="174"/>
      <c r="B1222" s="174"/>
      <c r="C1222" s="174"/>
      <c r="D1222" s="174"/>
      <c r="E1222" s="171" t="s">
        <v>312</v>
      </c>
      <c r="F1222" s="38"/>
      <c r="G1222" s="181" t="s">
        <v>466</v>
      </c>
      <c r="H1222" s="38" t="s">
        <v>105</v>
      </c>
      <c r="I1222" s="282"/>
      <c r="J1222" s="282"/>
      <c r="K1222" s="282"/>
      <c r="L1222" s="34"/>
      <c r="M1222" s="34"/>
      <c r="N1222" s="410"/>
      <c r="O1222" s="196"/>
      <c r="R1222" s="35"/>
    </row>
    <row r="1223" spans="1:18" ht="20.100000000000001" hidden="1" customHeight="1" x14ac:dyDescent="0.25">
      <c r="A1223" s="174"/>
      <c r="B1223" s="174"/>
      <c r="C1223" s="174"/>
      <c r="D1223" s="174"/>
      <c r="E1223" s="171"/>
      <c r="F1223" s="38" t="s">
        <v>313</v>
      </c>
      <c r="G1223" s="181" t="s">
        <v>466</v>
      </c>
      <c r="H1223" s="38" t="s">
        <v>105</v>
      </c>
      <c r="I1223" s="282"/>
      <c r="J1223" s="282"/>
      <c r="K1223" s="282"/>
      <c r="L1223" s="34"/>
      <c r="M1223" s="34"/>
      <c r="N1223" s="410"/>
      <c r="O1223" s="196"/>
      <c r="R1223" s="35"/>
    </row>
    <row r="1224" spans="1:18" ht="20.100000000000001" hidden="1" customHeight="1" x14ac:dyDescent="0.25">
      <c r="A1224" s="174"/>
      <c r="B1224" s="174"/>
      <c r="C1224" s="174"/>
      <c r="D1224" s="174">
        <v>3213</v>
      </c>
      <c r="E1224" s="174"/>
      <c r="F1224" s="44"/>
      <c r="G1224" s="181" t="s">
        <v>485</v>
      </c>
      <c r="H1224" s="38" t="s">
        <v>26</v>
      </c>
      <c r="I1224" s="282">
        <f t="shared" ref="I1224:M1225" si="205">I1225</f>
        <v>200</v>
      </c>
      <c r="J1224" s="282">
        <f t="shared" si="205"/>
        <v>180</v>
      </c>
      <c r="K1224" s="282">
        <f t="shared" si="205"/>
        <v>380</v>
      </c>
      <c r="L1224" s="34">
        <f t="shared" si="205"/>
        <v>1100</v>
      </c>
      <c r="M1224" s="34">
        <f t="shared" si="205"/>
        <v>1100</v>
      </c>
      <c r="N1224" s="410"/>
      <c r="O1224" s="196"/>
      <c r="R1224" s="35"/>
    </row>
    <row r="1225" spans="1:18" ht="20.100000000000001" hidden="1" customHeight="1" x14ac:dyDescent="0.25">
      <c r="A1225" s="174"/>
      <c r="B1225" s="174"/>
      <c r="C1225" s="174"/>
      <c r="D1225" s="174"/>
      <c r="E1225" s="171" t="s">
        <v>108</v>
      </c>
      <c r="F1225" s="38"/>
      <c r="G1225" s="181" t="s">
        <v>485</v>
      </c>
      <c r="H1225" s="38" t="s">
        <v>109</v>
      </c>
      <c r="I1225" s="282">
        <f t="shared" si="205"/>
        <v>200</v>
      </c>
      <c r="J1225" s="282">
        <f t="shared" si="205"/>
        <v>180</v>
      </c>
      <c r="K1225" s="282">
        <f t="shared" si="205"/>
        <v>380</v>
      </c>
      <c r="L1225" s="34">
        <f t="shared" si="205"/>
        <v>1100</v>
      </c>
      <c r="M1225" s="34">
        <f t="shared" si="205"/>
        <v>1100</v>
      </c>
      <c r="N1225" s="410"/>
      <c r="O1225" s="196"/>
      <c r="R1225" s="35"/>
    </row>
    <row r="1226" spans="1:18" ht="20.100000000000001" hidden="1" customHeight="1" x14ac:dyDescent="0.25">
      <c r="A1226" s="174"/>
      <c r="B1226" s="174"/>
      <c r="C1226" s="174"/>
      <c r="D1226" s="174"/>
      <c r="E1226" s="171"/>
      <c r="F1226" s="38" t="s">
        <v>110</v>
      </c>
      <c r="G1226" s="181" t="s">
        <v>485</v>
      </c>
      <c r="H1226" s="38" t="s">
        <v>319</v>
      </c>
      <c r="I1226" s="282">
        <v>200</v>
      </c>
      <c r="J1226" s="282">
        <f>K1226-I1226</f>
        <v>180</v>
      </c>
      <c r="K1226" s="282">
        <v>380</v>
      </c>
      <c r="L1226" s="34">
        <v>1100</v>
      </c>
      <c r="M1226" s="34">
        <v>1100</v>
      </c>
      <c r="N1226" s="410"/>
      <c r="O1226" s="196"/>
      <c r="R1226" s="35"/>
    </row>
    <row r="1227" spans="1:18" ht="20.100000000000001" hidden="1" customHeight="1" x14ac:dyDescent="0.25">
      <c r="A1227" s="174">
        <v>1</v>
      </c>
      <c r="B1227" s="174"/>
      <c r="C1227" s="174"/>
      <c r="D1227" s="174"/>
      <c r="E1227" s="171"/>
      <c r="F1227" s="38" t="s">
        <v>112</v>
      </c>
      <c r="G1227" s="181" t="s">
        <v>466</v>
      </c>
      <c r="H1227" s="38" t="s">
        <v>320</v>
      </c>
      <c r="I1227" s="282"/>
      <c r="J1227" s="282"/>
      <c r="K1227" s="282"/>
      <c r="L1227" s="31"/>
      <c r="M1227" s="31"/>
      <c r="N1227" s="410"/>
      <c r="O1227" s="196"/>
      <c r="R1227" s="35"/>
    </row>
    <row r="1228" spans="1:18" ht="20.100000000000001" hidden="1" customHeight="1" x14ac:dyDescent="0.25">
      <c r="A1228" s="174"/>
      <c r="B1228" s="174"/>
      <c r="C1228" s="174"/>
      <c r="D1228" s="174"/>
      <c r="E1228" s="171" t="s">
        <v>114</v>
      </c>
      <c r="F1228" s="38"/>
      <c r="G1228" s="181" t="s">
        <v>466</v>
      </c>
      <c r="H1228" s="38" t="s">
        <v>115</v>
      </c>
      <c r="I1228" s="282"/>
      <c r="J1228" s="282"/>
      <c r="K1228" s="282"/>
      <c r="L1228" s="31"/>
      <c r="M1228" s="31"/>
      <c r="N1228" s="410"/>
      <c r="O1228" s="196"/>
      <c r="R1228" s="35"/>
    </row>
    <row r="1229" spans="1:18" ht="20.100000000000001" hidden="1" customHeight="1" x14ac:dyDescent="0.25">
      <c r="A1229" s="174"/>
      <c r="B1229" s="174"/>
      <c r="C1229" s="174"/>
      <c r="D1229" s="174"/>
      <c r="E1229" s="171"/>
      <c r="F1229" s="38" t="s">
        <v>116</v>
      </c>
      <c r="G1229" s="181" t="s">
        <v>466</v>
      </c>
      <c r="H1229" s="38" t="s">
        <v>115</v>
      </c>
      <c r="I1229" s="282"/>
      <c r="J1229" s="282"/>
      <c r="K1229" s="282"/>
      <c r="L1229" s="31"/>
      <c r="M1229" s="31"/>
      <c r="N1229" s="410"/>
      <c r="O1229" s="196"/>
      <c r="R1229" s="35"/>
    </row>
    <row r="1230" spans="1:18" s="150" customFormat="1" ht="20.100000000000001" hidden="1" customHeight="1" x14ac:dyDescent="0.25">
      <c r="A1230" s="176"/>
      <c r="B1230" s="176"/>
      <c r="C1230" s="172">
        <v>322</v>
      </c>
      <c r="D1230" s="172"/>
      <c r="E1230" s="172"/>
      <c r="F1230" s="42"/>
      <c r="G1230" s="181" t="s">
        <v>485</v>
      </c>
      <c r="H1230" s="43" t="s">
        <v>27</v>
      </c>
      <c r="I1230" s="281">
        <f>I1231+I1241+I1246</f>
        <v>7560</v>
      </c>
      <c r="J1230" s="281">
        <f>J1231+J1241+J1246</f>
        <v>0</v>
      </c>
      <c r="K1230" s="281">
        <f>K1231+K1241+K1246</f>
        <v>7560</v>
      </c>
      <c r="L1230" s="148">
        <f>L1231+L1241+L1246</f>
        <v>55500</v>
      </c>
      <c r="M1230" s="148">
        <f>M1231+M1241+M1246</f>
        <v>55500</v>
      </c>
      <c r="N1230" s="410"/>
      <c r="O1230" s="196"/>
      <c r="P1230" s="270"/>
      <c r="Q1230" s="149"/>
      <c r="R1230" s="155"/>
    </row>
    <row r="1231" spans="1:18" ht="20.100000000000001" hidden="1" customHeight="1" x14ac:dyDescent="0.25">
      <c r="A1231" s="174"/>
      <c r="B1231" s="174"/>
      <c r="C1231" s="174"/>
      <c r="D1231" s="174">
        <v>3221</v>
      </c>
      <c r="E1231" s="174"/>
      <c r="F1231" s="44"/>
      <c r="G1231" s="181" t="s">
        <v>485</v>
      </c>
      <c r="H1231" s="38" t="s">
        <v>117</v>
      </c>
      <c r="I1231" s="282">
        <f>I1232+I1237+I1239</f>
        <v>520</v>
      </c>
      <c r="J1231" s="282">
        <f>J1232+J1237+J1239</f>
        <v>0</v>
      </c>
      <c r="K1231" s="282">
        <f>K1232+K1237+K1239</f>
        <v>520</v>
      </c>
      <c r="L1231" s="34">
        <f>L1232+L1237+L1239</f>
        <v>1500</v>
      </c>
      <c r="M1231" s="34">
        <f>M1232+M1237+M1239</f>
        <v>1500</v>
      </c>
      <c r="N1231" s="410"/>
      <c r="O1231" s="196"/>
      <c r="R1231" s="35"/>
    </row>
    <row r="1232" spans="1:18" ht="20.100000000000001" hidden="1" customHeight="1" x14ac:dyDescent="0.25">
      <c r="A1232" s="174"/>
      <c r="B1232" s="174"/>
      <c r="C1232" s="174"/>
      <c r="D1232" s="174"/>
      <c r="E1232" s="171" t="s">
        <v>118</v>
      </c>
      <c r="F1232" s="38"/>
      <c r="G1232" s="181" t="s">
        <v>485</v>
      </c>
      <c r="H1232" s="38" t="s">
        <v>119</v>
      </c>
      <c r="I1232" s="282">
        <f>I1233+I1234</f>
        <v>210</v>
      </c>
      <c r="J1232" s="282">
        <f>J1233+J1234</f>
        <v>0</v>
      </c>
      <c r="K1232" s="282">
        <f>K1233+K1234</f>
        <v>210</v>
      </c>
      <c r="L1232" s="34">
        <f>L1233+L1234</f>
        <v>500</v>
      </c>
      <c r="M1232" s="34">
        <f>M1233+M1234</f>
        <v>500</v>
      </c>
      <c r="N1232" s="410"/>
      <c r="O1232" s="196"/>
      <c r="R1232" s="35"/>
    </row>
    <row r="1233" spans="1:19" ht="20.100000000000001" hidden="1" customHeight="1" x14ac:dyDescent="0.25">
      <c r="A1233" s="174"/>
      <c r="B1233" s="174"/>
      <c r="C1233" s="174"/>
      <c r="D1233" s="174"/>
      <c r="E1233" s="171"/>
      <c r="F1233" s="38" t="s">
        <v>120</v>
      </c>
      <c r="G1233" s="181" t="s">
        <v>485</v>
      </c>
      <c r="H1233" s="38" t="s">
        <v>119</v>
      </c>
      <c r="I1233" s="282">
        <v>80</v>
      </c>
      <c r="J1233" s="282">
        <f>K1233-I1233</f>
        <v>0</v>
      </c>
      <c r="K1233" s="380">
        <v>80</v>
      </c>
      <c r="L1233" s="34">
        <v>360</v>
      </c>
      <c r="M1233" s="34">
        <v>360</v>
      </c>
      <c r="N1233" s="410"/>
      <c r="O1233" s="196"/>
      <c r="R1233" s="35"/>
    </row>
    <row r="1234" spans="1:19" ht="15" hidden="1" customHeight="1" x14ac:dyDescent="0.25">
      <c r="A1234" s="174"/>
      <c r="B1234" s="174"/>
      <c r="C1234" s="174"/>
      <c r="D1234" s="174"/>
      <c r="E1234" s="171"/>
      <c r="F1234" s="38" t="s">
        <v>121</v>
      </c>
      <c r="G1234" s="181" t="s">
        <v>485</v>
      </c>
      <c r="H1234" s="38" t="s">
        <v>321</v>
      </c>
      <c r="I1234" s="282">
        <v>130</v>
      </c>
      <c r="J1234" s="282">
        <f>K1234-I1234</f>
        <v>0</v>
      </c>
      <c r="K1234" s="380">
        <v>130</v>
      </c>
      <c r="L1234" s="34">
        <v>140</v>
      </c>
      <c r="M1234" s="34">
        <v>140</v>
      </c>
      <c r="N1234" s="410"/>
      <c r="O1234" s="196"/>
      <c r="R1234" s="35"/>
    </row>
    <row r="1235" spans="1:19" ht="30" hidden="1" customHeight="1" x14ac:dyDescent="0.25">
      <c r="A1235" s="174"/>
      <c r="B1235" s="174"/>
      <c r="C1235" s="174"/>
      <c r="D1235" s="174"/>
      <c r="E1235" s="171" t="s">
        <v>123</v>
      </c>
      <c r="F1235" s="38"/>
      <c r="G1235" s="181" t="s">
        <v>466</v>
      </c>
      <c r="H1235" s="38" t="s">
        <v>124</v>
      </c>
      <c r="I1235" s="282"/>
      <c r="J1235" s="282"/>
      <c r="K1235" s="282"/>
      <c r="L1235" s="34"/>
      <c r="M1235" s="34"/>
      <c r="N1235" s="410"/>
      <c r="O1235" s="196"/>
      <c r="R1235" s="35"/>
    </row>
    <row r="1236" spans="1:19" ht="30" hidden="1" customHeight="1" x14ac:dyDescent="0.25">
      <c r="A1236" s="174"/>
      <c r="B1236" s="174"/>
      <c r="C1236" s="174"/>
      <c r="D1236" s="174"/>
      <c r="E1236" s="171"/>
      <c r="F1236" s="38" t="s">
        <v>125</v>
      </c>
      <c r="G1236" s="181" t="s">
        <v>466</v>
      </c>
      <c r="H1236" s="38" t="s">
        <v>124</v>
      </c>
      <c r="I1236" s="282"/>
      <c r="J1236" s="282"/>
      <c r="K1236" s="282"/>
      <c r="L1236" s="34"/>
      <c r="M1236" s="34"/>
      <c r="N1236" s="410"/>
      <c r="O1236" s="196"/>
      <c r="R1236" s="35"/>
    </row>
    <row r="1237" spans="1:19" ht="30.75" hidden="1" customHeight="1" x14ac:dyDescent="0.25">
      <c r="A1237" s="174"/>
      <c r="B1237" s="174"/>
      <c r="C1237" s="174"/>
      <c r="D1237" s="174"/>
      <c r="E1237" s="171" t="s">
        <v>126</v>
      </c>
      <c r="F1237" s="38"/>
      <c r="G1237" s="181" t="s">
        <v>485</v>
      </c>
      <c r="H1237" s="38" t="s">
        <v>127</v>
      </c>
      <c r="I1237" s="282">
        <f>I1238</f>
        <v>80</v>
      </c>
      <c r="J1237" s="282">
        <f>J1238</f>
        <v>0</v>
      </c>
      <c r="K1237" s="282">
        <f>K1238</f>
        <v>80</v>
      </c>
      <c r="L1237" s="34">
        <f>L1238</f>
        <v>500</v>
      </c>
      <c r="M1237" s="34">
        <f>M1238</f>
        <v>500</v>
      </c>
      <c r="N1237" s="410"/>
      <c r="O1237" s="196"/>
      <c r="P1237" s="68"/>
      <c r="R1237" s="35"/>
    </row>
    <row r="1238" spans="1:19" ht="20.100000000000001" hidden="1" customHeight="1" x14ac:dyDescent="0.25">
      <c r="A1238" s="174"/>
      <c r="B1238" s="174"/>
      <c r="C1238" s="174"/>
      <c r="D1238" s="174"/>
      <c r="E1238" s="171"/>
      <c r="F1238" s="38" t="s">
        <v>128</v>
      </c>
      <c r="G1238" s="181" t="s">
        <v>485</v>
      </c>
      <c r="H1238" s="38" t="s">
        <v>127</v>
      </c>
      <c r="I1238" s="282">
        <v>80</v>
      </c>
      <c r="J1238" s="282">
        <f>K1238-I1238</f>
        <v>0</v>
      </c>
      <c r="K1238" s="380">
        <v>80</v>
      </c>
      <c r="L1238" s="34">
        <v>500</v>
      </c>
      <c r="M1238" s="34">
        <v>500</v>
      </c>
      <c r="N1238" s="410"/>
      <c r="O1238" s="196"/>
      <c r="P1238" s="68"/>
      <c r="R1238" s="35"/>
    </row>
    <row r="1239" spans="1:19" ht="20.100000000000001" hidden="1" customHeight="1" x14ac:dyDescent="0.25">
      <c r="A1239" s="174"/>
      <c r="B1239" s="174"/>
      <c r="C1239" s="174"/>
      <c r="D1239" s="174"/>
      <c r="E1239" s="171" t="s">
        <v>129</v>
      </c>
      <c r="F1239" s="38"/>
      <c r="G1239" s="181" t="s">
        <v>485</v>
      </c>
      <c r="H1239" s="38" t="s">
        <v>130</v>
      </c>
      <c r="I1239" s="282">
        <f>I1240</f>
        <v>230</v>
      </c>
      <c r="J1239" s="282">
        <f>J1240</f>
        <v>0</v>
      </c>
      <c r="K1239" s="282">
        <f>K1240</f>
        <v>230</v>
      </c>
      <c r="L1239" s="34">
        <f>L1240</f>
        <v>500</v>
      </c>
      <c r="M1239" s="34">
        <f>M1240</f>
        <v>500</v>
      </c>
      <c r="N1239" s="410"/>
      <c r="O1239" s="196"/>
      <c r="R1239" s="35"/>
      <c r="S1239" s="268"/>
    </row>
    <row r="1240" spans="1:19" ht="20.100000000000001" hidden="1" customHeight="1" x14ac:dyDescent="0.25">
      <c r="A1240" s="174"/>
      <c r="B1240" s="174"/>
      <c r="C1240" s="174"/>
      <c r="D1240" s="174"/>
      <c r="E1240" s="171"/>
      <c r="F1240" s="38" t="s">
        <v>131</v>
      </c>
      <c r="G1240" s="181" t="s">
        <v>485</v>
      </c>
      <c r="H1240" s="38" t="s">
        <v>130</v>
      </c>
      <c r="I1240" s="282">
        <v>230</v>
      </c>
      <c r="J1240" s="282">
        <f>K1240-I1240</f>
        <v>0</v>
      </c>
      <c r="K1240" s="380">
        <v>230</v>
      </c>
      <c r="L1240" s="34">
        <v>500</v>
      </c>
      <c r="M1240" s="34">
        <v>500</v>
      </c>
      <c r="N1240" s="410"/>
      <c r="O1240" s="196"/>
      <c r="R1240" s="35"/>
      <c r="S1240" s="268"/>
    </row>
    <row r="1241" spans="1:19" ht="20.100000000000001" hidden="1" customHeight="1" x14ac:dyDescent="0.25">
      <c r="A1241" s="174"/>
      <c r="B1241" s="174"/>
      <c r="C1241" s="174"/>
      <c r="D1241" s="174">
        <v>3222</v>
      </c>
      <c r="E1241" s="174"/>
      <c r="F1241" s="44"/>
      <c r="G1241" s="181" t="s">
        <v>485</v>
      </c>
      <c r="H1241" s="38" t="s">
        <v>29</v>
      </c>
      <c r="I1241" s="282">
        <f>I1242+I1244</f>
        <v>4350</v>
      </c>
      <c r="J1241" s="282">
        <f>J1242+J1244</f>
        <v>0</v>
      </c>
      <c r="K1241" s="282">
        <f>K1242+K1244</f>
        <v>4350</v>
      </c>
      <c r="L1241" s="34">
        <f>L1242+L1244</f>
        <v>45000</v>
      </c>
      <c r="M1241" s="34">
        <f>M1242+M1244</f>
        <v>45000</v>
      </c>
      <c r="N1241" s="410"/>
      <c r="O1241" s="196"/>
      <c r="R1241" s="35"/>
      <c r="S1241" s="268"/>
    </row>
    <row r="1242" spans="1:19" ht="20.100000000000001" hidden="1" customHeight="1" x14ac:dyDescent="0.25">
      <c r="A1242" s="174"/>
      <c r="B1242" s="174"/>
      <c r="C1242" s="174"/>
      <c r="D1242" s="174"/>
      <c r="E1242" s="171" t="s">
        <v>135</v>
      </c>
      <c r="F1242" s="38"/>
      <c r="G1242" s="181" t="s">
        <v>485</v>
      </c>
      <c r="H1242" s="38" t="s">
        <v>136</v>
      </c>
      <c r="I1242" s="282">
        <f>I1243</f>
        <v>1250</v>
      </c>
      <c r="J1242" s="282">
        <f>J1243</f>
        <v>0</v>
      </c>
      <c r="K1242" s="282">
        <f>K1243</f>
        <v>1250</v>
      </c>
      <c r="L1242" s="34">
        <f>L1243</f>
        <v>15000</v>
      </c>
      <c r="M1242" s="34">
        <f>M1243</f>
        <v>15000</v>
      </c>
      <c r="N1242" s="410"/>
      <c r="O1242" s="196"/>
      <c r="R1242" s="35"/>
      <c r="S1242" s="268"/>
    </row>
    <row r="1243" spans="1:19" ht="20.100000000000001" hidden="1" customHeight="1" x14ac:dyDescent="0.25">
      <c r="A1243" s="174"/>
      <c r="B1243" s="174"/>
      <c r="C1243" s="174"/>
      <c r="D1243" s="174"/>
      <c r="E1243" s="171"/>
      <c r="F1243" s="38" t="s">
        <v>137</v>
      </c>
      <c r="G1243" s="181" t="s">
        <v>485</v>
      </c>
      <c r="H1243" s="38" t="s">
        <v>136</v>
      </c>
      <c r="I1243" s="282">
        <v>1250</v>
      </c>
      <c r="J1243" s="282">
        <f>K1243-I1243</f>
        <v>0</v>
      </c>
      <c r="K1243" s="380">
        <v>1250</v>
      </c>
      <c r="L1243" s="34">
        <v>15000</v>
      </c>
      <c r="M1243" s="34">
        <v>15000</v>
      </c>
      <c r="N1243" s="410"/>
      <c r="O1243" s="196"/>
      <c r="R1243" s="35"/>
      <c r="S1243" s="268"/>
    </row>
    <row r="1244" spans="1:19" ht="20.100000000000001" hidden="1" customHeight="1" x14ac:dyDescent="0.25">
      <c r="A1244" s="174"/>
      <c r="B1244" s="174"/>
      <c r="C1244" s="174"/>
      <c r="D1244" s="174"/>
      <c r="E1244" s="171" t="s">
        <v>138</v>
      </c>
      <c r="F1244" s="38"/>
      <c r="G1244" s="181" t="s">
        <v>485</v>
      </c>
      <c r="H1244" s="38" t="s">
        <v>139</v>
      </c>
      <c r="I1244" s="282">
        <f>I1245</f>
        <v>3100</v>
      </c>
      <c r="J1244" s="282">
        <f>J1245</f>
        <v>0</v>
      </c>
      <c r="K1244" s="282">
        <f>K1245</f>
        <v>3100</v>
      </c>
      <c r="L1244" s="34">
        <f>L1245</f>
        <v>30000</v>
      </c>
      <c r="M1244" s="34">
        <f>M1245</f>
        <v>30000</v>
      </c>
      <c r="N1244" s="410"/>
      <c r="O1244" s="196"/>
      <c r="R1244" s="35"/>
      <c r="S1244" s="268"/>
    </row>
    <row r="1245" spans="1:19" ht="20.100000000000001" hidden="1" customHeight="1" x14ac:dyDescent="0.25">
      <c r="A1245" s="174"/>
      <c r="B1245" s="174"/>
      <c r="C1245" s="174"/>
      <c r="D1245" s="174"/>
      <c r="E1245" s="171"/>
      <c r="F1245" s="38" t="s">
        <v>140</v>
      </c>
      <c r="G1245" s="181" t="s">
        <v>485</v>
      </c>
      <c r="H1245" s="38" t="s">
        <v>139</v>
      </c>
      <c r="I1245" s="282">
        <v>3100</v>
      </c>
      <c r="J1245" s="282">
        <f>K1245-I1245</f>
        <v>0</v>
      </c>
      <c r="K1245" s="380">
        <v>3100</v>
      </c>
      <c r="L1245" s="34">
        <v>30000</v>
      </c>
      <c r="M1245" s="34">
        <v>30000</v>
      </c>
      <c r="N1245" s="410"/>
      <c r="O1245" s="196"/>
      <c r="R1245" s="35"/>
      <c r="S1245" s="268"/>
    </row>
    <row r="1246" spans="1:19" ht="20.100000000000001" hidden="1" customHeight="1" x14ac:dyDescent="0.25">
      <c r="A1246" s="174"/>
      <c r="B1246" s="174"/>
      <c r="C1246" s="174"/>
      <c r="D1246" s="175">
        <v>3223</v>
      </c>
      <c r="E1246" s="175"/>
      <c r="F1246" s="56"/>
      <c r="G1246" s="181" t="s">
        <v>485</v>
      </c>
      <c r="H1246" s="53" t="s">
        <v>30</v>
      </c>
      <c r="I1246" s="282">
        <f>I1247+I1250+I1252</f>
        <v>2690</v>
      </c>
      <c r="J1246" s="282">
        <f>J1247+J1250+J1252</f>
        <v>0</v>
      </c>
      <c r="K1246" s="282">
        <f>K1247+K1250+K1252</f>
        <v>2690</v>
      </c>
      <c r="L1246" s="34">
        <f>L1247+L1250+L1252</f>
        <v>9000</v>
      </c>
      <c r="M1246" s="34">
        <f>M1247+M1250+M1252</f>
        <v>9000</v>
      </c>
      <c r="N1246" s="410"/>
      <c r="O1246" s="196"/>
      <c r="R1246" s="35"/>
      <c r="S1246" s="268"/>
    </row>
    <row r="1247" spans="1:19" ht="20.100000000000001" hidden="1" customHeight="1" x14ac:dyDescent="0.25">
      <c r="A1247" s="174"/>
      <c r="B1247" s="174"/>
      <c r="C1247" s="174"/>
      <c r="D1247" s="175"/>
      <c r="E1247" s="171" t="s">
        <v>141</v>
      </c>
      <c r="F1247" s="38"/>
      <c r="G1247" s="181" t="s">
        <v>485</v>
      </c>
      <c r="H1247" s="38" t="s">
        <v>142</v>
      </c>
      <c r="I1247" s="282">
        <f>I1248+I1249</f>
        <v>1400</v>
      </c>
      <c r="J1247" s="282">
        <f>J1248+J1249</f>
        <v>0</v>
      </c>
      <c r="K1247" s="282">
        <f>K1248+K1249</f>
        <v>1400</v>
      </c>
      <c r="L1247" s="34">
        <f>L1248+L1249</f>
        <v>4000</v>
      </c>
      <c r="M1247" s="34">
        <f>M1248+M1249</f>
        <v>4000</v>
      </c>
      <c r="N1247" s="410"/>
      <c r="O1247" s="196"/>
      <c r="R1247" s="35"/>
      <c r="S1247" s="268"/>
    </row>
    <row r="1248" spans="1:19" ht="20.100000000000001" hidden="1" customHeight="1" x14ac:dyDescent="0.25">
      <c r="A1248" s="174"/>
      <c r="B1248" s="174"/>
      <c r="C1248" s="174"/>
      <c r="D1248" s="175"/>
      <c r="E1248" s="171"/>
      <c r="F1248" s="38" t="s">
        <v>143</v>
      </c>
      <c r="G1248" s="181" t="s">
        <v>485</v>
      </c>
      <c r="H1248" s="38" t="s">
        <v>142</v>
      </c>
      <c r="I1248" s="282">
        <v>660</v>
      </c>
      <c r="J1248" s="282">
        <f>K1248-I1248</f>
        <v>0</v>
      </c>
      <c r="K1248" s="380">
        <v>660</v>
      </c>
      <c r="L1248" s="34">
        <v>1500</v>
      </c>
      <c r="M1248" s="34">
        <v>1500</v>
      </c>
      <c r="N1248" s="410"/>
      <c r="O1248" s="196"/>
      <c r="R1248" s="35"/>
      <c r="S1248" s="268"/>
    </row>
    <row r="1249" spans="1:19" ht="20.100000000000001" hidden="1" customHeight="1" x14ac:dyDescent="0.25">
      <c r="A1249" s="174"/>
      <c r="B1249" s="174"/>
      <c r="C1249" s="174"/>
      <c r="D1249" s="175"/>
      <c r="E1249" s="171"/>
      <c r="F1249" s="38" t="s">
        <v>144</v>
      </c>
      <c r="G1249" s="181" t="s">
        <v>485</v>
      </c>
      <c r="H1249" s="38" t="s">
        <v>145</v>
      </c>
      <c r="I1249" s="282">
        <v>740</v>
      </c>
      <c r="J1249" s="282">
        <f>K1249-I1249</f>
        <v>0</v>
      </c>
      <c r="K1249" s="380">
        <v>740</v>
      </c>
      <c r="L1249" s="34">
        <v>2500</v>
      </c>
      <c r="M1249" s="34">
        <v>2500</v>
      </c>
      <c r="N1249" s="410"/>
      <c r="O1249" s="196"/>
      <c r="R1249" s="35"/>
      <c r="S1249" s="268"/>
    </row>
    <row r="1250" spans="1:19" ht="20.100000000000001" hidden="1" customHeight="1" x14ac:dyDescent="0.25">
      <c r="A1250" s="174"/>
      <c r="B1250" s="174"/>
      <c r="C1250" s="174"/>
      <c r="D1250" s="175"/>
      <c r="E1250" s="171" t="s">
        <v>146</v>
      </c>
      <c r="F1250" s="38"/>
      <c r="G1250" s="181" t="s">
        <v>485</v>
      </c>
      <c r="H1250" s="38" t="s">
        <v>147</v>
      </c>
      <c r="I1250" s="282">
        <f>I1251</f>
        <v>620</v>
      </c>
      <c r="J1250" s="282">
        <f>J1251</f>
        <v>0</v>
      </c>
      <c r="K1250" s="282">
        <f>K1251</f>
        <v>620</v>
      </c>
      <c r="L1250" s="34">
        <f>L1251</f>
        <v>4000</v>
      </c>
      <c r="M1250" s="34">
        <f>M1251</f>
        <v>4000</v>
      </c>
      <c r="N1250" s="410"/>
      <c r="O1250" s="196"/>
      <c r="R1250" s="35"/>
      <c r="S1250" s="268"/>
    </row>
    <row r="1251" spans="1:19" ht="20.100000000000001" hidden="1" customHeight="1" x14ac:dyDescent="0.25">
      <c r="A1251" s="174"/>
      <c r="B1251" s="174"/>
      <c r="C1251" s="174"/>
      <c r="D1251" s="175"/>
      <c r="E1251" s="171"/>
      <c r="F1251" s="38" t="s">
        <v>148</v>
      </c>
      <c r="G1251" s="181" t="s">
        <v>485</v>
      </c>
      <c r="H1251" s="38" t="s">
        <v>147</v>
      </c>
      <c r="I1251" s="282">
        <v>620</v>
      </c>
      <c r="J1251" s="282">
        <f>K1251-I1251</f>
        <v>0</v>
      </c>
      <c r="K1251" s="380">
        <v>620</v>
      </c>
      <c r="L1251" s="34">
        <v>4000</v>
      </c>
      <c r="M1251" s="34">
        <v>4000</v>
      </c>
      <c r="N1251" s="410"/>
      <c r="O1251" s="196"/>
      <c r="R1251" s="35"/>
      <c r="S1251" s="268"/>
    </row>
    <row r="1252" spans="1:19" ht="20.100000000000001" hidden="1" customHeight="1" x14ac:dyDescent="0.25">
      <c r="A1252" s="174"/>
      <c r="B1252" s="174"/>
      <c r="C1252" s="174"/>
      <c r="D1252" s="175"/>
      <c r="E1252" s="171" t="s">
        <v>149</v>
      </c>
      <c r="F1252" s="38"/>
      <c r="G1252" s="181" t="s">
        <v>485</v>
      </c>
      <c r="H1252" s="38" t="s">
        <v>150</v>
      </c>
      <c r="I1252" s="282">
        <f>I1253</f>
        <v>670</v>
      </c>
      <c r="J1252" s="282">
        <f>J1253</f>
        <v>0</v>
      </c>
      <c r="K1252" s="282">
        <f>K1253</f>
        <v>670</v>
      </c>
      <c r="L1252" s="34">
        <f>L1253</f>
        <v>1000</v>
      </c>
      <c r="M1252" s="34">
        <f>M1253</f>
        <v>1000</v>
      </c>
      <c r="N1252" s="410"/>
      <c r="O1252" s="196"/>
      <c r="R1252" s="35"/>
      <c r="S1252" s="268"/>
    </row>
    <row r="1253" spans="1:19" ht="20.100000000000001" hidden="1" customHeight="1" x14ac:dyDescent="0.25">
      <c r="A1253" s="174"/>
      <c r="B1253" s="174"/>
      <c r="C1253" s="174"/>
      <c r="D1253" s="175"/>
      <c r="E1253" s="171"/>
      <c r="F1253" s="38" t="s">
        <v>151</v>
      </c>
      <c r="G1253" s="181" t="s">
        <v>485</v>
      </c>
      <c r="H1253" s="38" t="s">
        <v>150</v>
      </c>
      <c r="I1253" s="282">
        <v>670</v>
      </c>
      <c r="J1253" s="282">
        <f>K1253-I1253</f>
        <v>0</v>
      </c>
      <c r="K1253" s="380">
        <v>670</v>
      </c>
      <c r="L1253" s="34">
        <v>1000</v>
      </c>
      <c r="M1253" s="34">
        <v>1000</v>
      </c>
      <c r="N1253" s="410"/>
      <c r="O1253" s="196"/>
      <c r="R1253" s="35"/>
      <c r="S1253" s="268"/>
    </row>
    <row r="1254" spans="1:19" s="150" customFormat="1" ht="20.100000000000001" hidden="1" customHeight="1" x14ac:dyDescent="0.25">
      <c r="A1254" s="176"/>
      <c r="B1254" s="176"/>
      <c r="C1254" s="172">
        <v>323</v>
      </c>
      <c r="D1254" s="172"/>
      <c r="E1254" s="172"/>
      <c r="F1254" s="42"/>
      <c r="G1254" s="181" t="s">
        <v>485</v>
      </c>
      <c r="H1254" s="43" t="s">
        <v>34</v>
      </c>
      <c r="I1254" s="281">
        <f t="shared" ref="I1254:K1254" si="206">I1255+I1264+I1272+I1277+I1280</f>
        <v>13625</v>
      </c>
      <c r="J1254" s="281">
        <f t="shared" si="206"/>
        <v>-700</v>
      </c>
      <c r="K1254" s="281">
        <f t="shared" si="206"/>
        <v>12925</v>
      </c>
      <c r="L1254" s="148">
        <f>L1255+L1264+L1272+L1277</f>
        <v>96800</v>
      </c>
      <c r="M1254" s="148">
        <f>M1255+M1264+M1272+M1277</f>
        <v>96800</v>
      </c>
      <c r="N1254" s="410"/>
      <c r="O1254" s="196"/>
      <c r="P1254" s="270"/>
      <c r="Q1254" s="149"/>
      <c r="R1254" s="155"/>
      <c r="S1254" s="149"/>
    </row>
    <row r="1255" spans="1:19" ht="20.100000000000001" hidden="1" customHeight="1" x14ac:dyDescent="0.25">
      <c r="A1255" s="174"/>
      <c r="B1255" s="174"/>
      <c r="C1255" s="174"/>
      <c r="D1255" s="174">
        <v>3231</v>
      </c>
      <c r="E1255" s="174"/>
      <c r="F1255" s="44"/>
      <c r="G1255" s="181" t="s">
        <v>485</v>
      </c>
      <c r="H1255" s="53" t="s">
        <v>166</v>
      </c>
      <c r="I1255" s="282">
        <f t="shared" ref="I1255:K1255" si="207">I1256+I1260</f>
        <v>960</v>
      </c>
      <c r="J1255" s="282">
        <f t="shared" si="207"/>
        <v>0</v>
      </c>
      <c r="K1255" s="282">
        <f t="shared" si="207"/>
        <v>960</v>
      </c>
      <c r="L1255" s="34">
        <f t="shared" ref="I1255:M1256" si="208">L1256</f>
        <v>3050</v>
      </c>
      <c r="M1255" s="34">
        <f t="shared" si="208"/>
        <v>3050</v>
      </c>
      <c r="N1255" s="410"/>
      <c r="O1255" s="196"/>
      <c r="R1255" s="35"/>
      <c r="S1255" s="268"/>
    </row>
    <row r="1256" spans="1:19" ht="20.100000000000001" hidden="1" customHeight="1" x14ac:dyDescent="0.25">
      <c r="A1256" s="174"/>
      <c r="B1256" s="174"/>
      <c r="C1256" s="174"/>
      <c r="D1256" s="174"/>
      <c r="E1256" s="171" t="s">
        <v>167</v>
      </c>
      <c r="F1256" s="38"/>
      <c r="G1256" s="181" t="s">
        <v>485</v>
      </c>
      <c r="H1256" s="38" t="s">
        <v>168</v>
      </c>
      <c r="I1256" s="282">
        <f t="shared" si="208"/>
        <v>220</v>
      </c>
      <c r="J1256" s="282">
        <f t="shared" si="208"/>
        <v>0</v>
      </c>
      <c r="K1256" s="282">
        <f t="shared" si="208"/>
        <v>220</v>
      </c>
      <c r="L1256" s="34">
        <f t="shared" si="208"/>
        <v>3050</v>
      </c>
      <c r="M1256" s="34">
        <f t="shared" si="208"/>
        <v>3050</v>
      </c>
      <c r="N1256" s="410"/>
      <c r="O1256" s="196"/>
      <c r="R1256" s="35"/>
      <c r="S1256" s="268"/>
    </row>
    <row r="1257" spans="1:19" ht="20.100000000000001" hidden="1" customHeight="1" x14ac:dyDescent="0.25">
      <c r="A1257" s="174"/>
      <c r="B1257" s="174"/>
      <c r="C1257" s="174"/>
      <c r="D1257" s="174"/>
      <c r="E1257" s="171"/>
      <c r="F1257" s="38" t="s">
        <v>169</v>
      </c>
      <c r="G1257" s="181" t="s">
        <v>485</v>
      </c>
      <c r="H1257" s="38" t="s">
        <v>168</v>
      </c>
      <c r="I1257" s="282">
        <v>220</v>
      </c>
      <c r="J1257" s="282">
        <f>K1257-I1257</f>
        <v>0</v>
      </c>
      <c r="K1257" s="282">
        <v>220</v>
      </c>
      <c r="L1257" s="34">
        <v>3050</v>
      </c>
      <c r="M1257" s="34">
        <v>3050</v>
      </c>
      <c r="N1257" s="410"/>
      <c r="O1257" s="196"/>
      <c r="R1257" s="35"/>
      <c r="S1257" s="268"/>
    </row>
    <row r="1258" spans="1:19" ht="20.100000000000001" hidden="1" customHeight="1" x14ac:dyDescent="0.25">
      <c r="A1258" s="174"/>
      <c r="B1258" s="174"/>
      <c r="C1258" s="174"/>
      <c r="D1258" s="174"/>
      <c r="E1258" s="171" t="s">
        <v>170</v>
      </c>
      <c r="F1258" s="38"/>
      <c r="G1258" s="181" t="s">
        <v>466</v>
      </c>
      <c r="H1258" s="38" t="s">
        <v>171</v>
      </c>
      <c r="I1258" s="282"/>
      <c r="J1258" s="282"/>
      <c r="K1258" s="282"/>
      <c r="L1258" s="34"/>
      <c r="M1258" s="34"/>
      <c r="N1258" s="410"/>
      <c r="O1258" s="196"/>
      <c r="R1258" s="35"/>
      <c r="S1258" s="268"/>
    </row>
    <row r="1259" spans="1:19" ht="20.100000000000001" hidden="1" customHeight="1" x14ac:dyDescent="0.25">
      <c r="A1259" s="174"/>
      <c r="B1259" s="174"/>
      <c r="C1259" s="174"/>
      <c r="D1259" s="174"/>
      <c r="E1259" s="171"/>
      <c r="F1259" s="38" t="s">
        <v>172</v>
      </c>
      <c r="G1259" s="181" t="s">
        <v>466</v>
      </c>
      <c r="H1259" s="38" t="s">
        <v>171</v>
      </c>
      <c r="I1259" s="282"/>
      <c r="J1259" s="282"/>
      <c r="K1259" s="282"/>
      <c r="L1259" s="34"/>
      <c r="M1259" s="34"/>
      <c r="N1259" s="410"/>
      <c r="O1259" s="196"/>
      <c r="R1259" s="35"/>
      <c r="S1259" s="268"/>
    </row>
    <row r="1260" spans="1:19" ht="20.100000000000001" hidden="1" customHeight="1" x14ac:dyDescent="0.25">
      <c r="A1260" s="174"/>
      <c r="B1260" s="174"/>
      <c r="C1260" s="174"/>
      <c r="D1260" s="174"/>
      <c r="E1260" s="171" t="s">
        <v>173</v>
      </c>
      <c r="F1260" s="38"/>
      <c r="G1260" s="181" t="s">
        <v>485</v>
      </c>
      <c r="H1260" s="38" t="s">
        <v>174</v>
      </c>
      <c r="I1260" s="282">
        <f t="shared" ref="I1260:K1260" si="209">I1261</f>
        <v>740</v>
      </c>
      <c r="J1260" s="282">
        <f t="shared" si="209"/>
        <v>0</v>
      </c>
      <c r="K1260" s="282">
        <f t="shared" si="209"/>
        <v>740</v>
      </c>
      <c r="L1260" s="34"/>
      <c r="M1260" s="34"/>
      <c r="N1260" s="410"/>
      <c r="O1260" s="196"/>
      <c r="R1260" s="35"/>
      <c r="S1260" s="268"/>
    </row>
    <row r="1261" spans="1:19" ht="20.100000000000001" hidden="1" customHeight="1" x14ac:dyDescent="0.25">
      <c r="A1261" s="174"/>
      <c r="B1261" s="174"/>
      <c r="C1261" s="174"/>
      <c r="D1261" s="174"/>
      <c r="E1261" s="171"/>
      <c r="F1261" s="38" t="s">
        <v>175</v>
      </c>
      <c r="G1261" s="181" t="s">
        <v>485</v>
      </c>
      <c r="H1261" s="38" t="s">
        <v>174</v>
      </c>
      <c r="I1261" s="282">
        <v>740</v>
      </c>
      <c r="J1261" s="282">
        <f>K1261-I1261</f>
        <v>0</v>
      </c>
      <c r="K1261" s="282">
        <v>740</v>
      </c>
      <c r="L1261" s="34"/>
      <c r="M1261" s="34"/>
      <c r="N1261" s="410"/>
      <c r="O1261" s="196"/>
      <c r="R1261" s="35"/>
      <c r="S1261" s="268"/>
    </row>
    <row r="1262" spans="1:19" ht="20.100000000000001" hidden="1" customHeight="1" x14ac:dyDescent="0.25">
      <c r="A1262" s="174"/>
      <c r="B1262" s="174"/>
      <c r="C1262" s="174"/>
      <c r="D1262" s="174"/>
      <c r="E1262" s="171" t="s">
        <v>176</v>
      </c>
      <c r="F1262" s="38"/>
      <c r="G1262" s="181" t="s">
        <v>466</v>
      </c>
      <c r="H1262" s="38" t="s">
        <v>177</v>
      </c>
      <c r="I1262" s="282"/>
      <c r="J1262" s="282"/>
      <c r="K1262" s="282"/>
      <c r="L1262" s="34"/>
      <c r="M1262" s="34"/>
      <c r="N1262" s="410"/>
      <c r="O1262" s="196"/>
      <c r="S1262" s="268"/>
    </row>
    <row r="1263" spans="1:19" ht="20.100000000000001" hidden="1" customHeight="1" x14ac:dyDescent="0.25">
      <c r="A1263" s="174"/>
      <c r="B1263" s="174"/>
      <c r="C1263" s="174"/>
      <c r="D1263" s="174"/>
      <c r="E1263" s="171"/>
      <c r="F1263" s="38" t="s">
        <v>178</v>
      </c>
      <c r="G1263" s="181" t="s">
        <v>466</v>
      </c>
      <c r="H1263" s="38" t="s">
        <v>177</v>
      </c>
      <c r="I1263" s="282"/>
      <c r="J1263" s="282"/>
      <c r="K1263" s="282"/>
      <c r="L1263" s="34"/>
      <c r="M1263" s="34"/>
      <c r="N1263" s="410"/>
      <c r="O1263" s="196"/>
      <c r="S1263" s="268"/>
    </row>
    <row r="1264" spans="1:19" ht="15" hidden="1" customHeight="1" x14ac:dyDescent="0.25">
      <c r="A1264" s="174"/>
      <c r="B1264" s="174"/>
      <c r="C1264" s="174"/>
      <c r="D1264" s="174">
        <v>3232</v>
      </c>
      <c r="E1264" s="174"/>
      <c r="F1264" s="44"/>
      <c r="G1264" s="181" t="s">
        <v>485</v>
      </c>
      <c r="H1264" s="38" t="s">
        <v>36</v>
      </c>
      <c r="I1264" s="282">
        <f t="shared" ref="I1264:K1264" si="210">I1265+I1267</f>
        <v>2430</v>
      </c>
      <c r="J1264" s="282">
        <f t="shared" si="210"/>
        <v>0</v>
      </c>
      <c r="K1264" s="282">
        <f t="shared" si="210"/>
        <v>2430</v>
      </c>
      <c r="L1264" s="34">
        <f t="shared" ref="I1264:M1265" si="211">L1265</f>
        <v>12500</v>
      </c>
      <c r="M1264" s="34">
        <f t="shared" si="211"/>
        <v>12500</v>
      </c>
      <c r="N1264" s="410"/>
      <c r="O1264" s="196"/>
      <c r="S1264" s="268"/>
    </row>
    <row r="1265" spans="1:19" ht="30" hidden="1" customHeight="1" x14ac:dyDescent="0.25">
      <c r="A1265" s="174"/>
      <c r="B1265" s="174"/>
      <c r="C1265" s="174"/>
      <c r="D1265" s="174"/>
      <c r="E1265" s="171" t="s">
        <v>179</v>
      </c>
      <c r="F1265" s="38"/>
      <c r="G1265" s="181" t="s">
        <v>485</v>
      </c>
      <c r="H1265" s="38" t="s">
        <v>180</v>
      </c>
      <c r="I1265" s="282">
        <f t="shared" si="211"/>
        <v>2250</v>
      </c>
      <c r="J1265" s="282">
        <f t="shared" si="211"/>
        <v>0</v>
      </c>
      <c r="K1265" s="282">
        <f t="shared" si="211"/>
        <v>2250</v>
      </c>
      <c r="L1265" s="34">
        <f t="shared" si="211"/>
        <v>12500</v>
      </c>
      <c r="M1265" s="34">
        <f t="shared" si="211"/>
        <v>12500</v>
      </c>
      <c r="N1265" s="410"/>
      <c r="O1265" s="196"/>
      <c r="S1265" s="268"/>
    </row>
    <row r="1266" spans="1:19" ht="30" hidden="1" customHeight="1" x14ac:dyDescent="0.25">
      <c r="A1266" s="174"/>
      <c r="B1266" s="174"/>
      <c r="C1266" s="174"/>
      <c r="D1266" s="174"/>
      <c r="E1266" s="171"/>
      <c r="F1266" s="38" t="s">
        <v>181</v>
      </c>
      <c r="G1266" s="181" t="s">
        <v>485</v>
      </c>
      <c r="H1266" s="38" t="s">
        <v>180</v>
      </c>
      <c r="I1266" s="282">
        <v>2250</v>
      </c>
      <c r="J1266" s="282">
        <f>K1266-I1266</f>
        <v>0</v>
      </c>
      <c r="K1266" s="282">
        <v>2250</v>
      </c>
      <c r="L1266" s="34">
        <v>12500</v>
      </c>
      <c r="M1266" s="34">
        <v>12500</v>
      </c>
      <c r="N1266" s="410"/>
      <c r="O1266" s="196"/>
      <c r="S1266" s="268"/>
    </row>
    <row r="1267" spans="1:19" ht="30" hidden="1" customHeight="1" x14ac:dyDescent="0.25">
      <c r="A1267" s="174"/>
      <c r="B1267" s="174"/>
      <c r="C1267" s="174"/>
      <c r="D1267" s="174"/>
      <c r="E1267" s="171" t="s">
        <v>480</v>
      </c>
      <c r="F1267" s="38"/>
      <c r="G1267" s="181" t="s">
        <v>485</v>
      </c>
      <c r="H1267" s="38" t="s">
        <v>478</v>
      </c>
      <c r="I1267" s="282">
        <f t="shared" ref="I1267:K1267" si="212">I1268</f>
        <v>180</v>
      </c>
      <c r="J1267" s="282">
        <f t="shared" si="212"/>
        <v>0</v>
      </c>
      <c r="K1267" s="282">
        <f t="shared" si="212"/>
        <v>180</v>
      </c>
      <c r="L1267" s="34"/>
      <c r="M1267" s="34"/>
      <c r="N1267" s="410"/>
      <c r="O1267" s="196"/>
      <c r="S1267" s="268"/>
    </row>
    <row r="1268" spans="1:19" ht="30" hidden="1" customHeight="1" x14ac:dyDescent="0.25">
      <c r="A1268" s="174"/>
      <c r="B1268" s="174"/>
      <c r="C1268" s="174"/>
      <c r="D1268" s="174"/>
      <c r="E1268" s="171"/>
      <c r="F1268" s="38" t="s">
        <v>481</v>
      </c>
      <c r="G1268" s="181" t="s">
        <v>485</v>
      </c>
      <c r="H1268" s="38" t="s">
        <v>478</v>
      </c>
      <c r="I1268" s="282">
        <v>180</v>
      </c>
      <c r="J1268" s="282">
        <f>K1268-I1268</f>
        <v>0</v>
      </c>
      <c r="K1268" s="380">
        <v>180</v>
      </c>
      <c r="L1268" s="34"/>
      <c r="M1268" s="34"/>
      <c r="N1268" s="410"/>
      <c r="O1268" s="196"/>
      <c r="S1268" s="268"/>
    </row>
    <row r="1269" spans="1:19" ht="20.100000000000001" hidden="1" customHeight="1" x14ac:dyDescent="0.25">
      <c r="A1269" s="174"/>
      <c r="B1269" s="174"/>
      <c r="C1269" s="174"/>
      <c r="D1269" s="174">
        <v>3233</v>
      </c>
      <c r="E1269" s="174"/>
      <c r="F1269" s="44"/>
      <c r="G1269" s="181" t="s">
        <v>466</v>
      </c>
      <c r="H1269" s="38" t="s">
        <v>37</v>
      </c>
      <c r="I1269" s="282"/>
      <c r="J1269" s="282"/>
      <c r="K1269" s="282"/>
      <c r="L1269" s="34"/>
      <c r="M1269" s="34"/>
      <c r="N1269" s="410"/>
      <c r="O1269" s="196"/>
      <c r="S1269" s="268"/>
    </row>
    <row r="1270" spans="1:19" ht="20.100000000000001" hidden="1" customHeight="1" x14ac:dyDescent="0.25">
      <c r="A1270" s="174"/>
      <c r="B1270" s="174"/>
      <c r="C1270" s="174"/>
      <c r="D1270" s="174"/>
      <c r="E1270" s="171" t="s">
        <v>182</v>
      </c>
      <c r="F1270" s="38"/>
      <c r="G1270" s="181" t="s">
        <v>466</v>
      </c>
      <c r="H1270" s="38" t="s">
        <v>183</v>
      </c>
      <c r="I1270" s="282"/>
      <c r="J1270" s="282"/>
      <c r="K1270" s="282"/>
      <c r="L1270" s="34"/>
      <c r="M1270" s="34"/>
      <c r="N1270" s="410"/>
      <c r="O1270" s="196"/>
      <c r="S1270" s="268"/>
    </row>
    <row r="1271" spans="1:19" ht="20.100000000000001" hidden="1" customHeight="1" x14ac:dyDescent="0.25">
      <c r="A1271" s="174"/>
      <c r="B1271" s="174"/>
      <c r="C1271" s="174"/>
      <c r="D1271" s="174"/>
      <c r="E1271" s="171"/>
      <c r="F1271" s="38" t="s">
        <v>184</v>
      </c>
      <c r="G1271" s="181" t="s">
        <v>466</v>
      </c>
      <c r="H1271" s="38" t="s">
        <v>183</v>
      </c>
      <c r="I1271" s="282"/>
      <c r="J1271" s="282"/>
      <c r="K1271" s="282"/>
      <c r="L1271" s="34"/>
      <c r="M1271" s="34"/>
      <c r="N1271" s="410"/>
      <c r="O1271" s="196"/>
      <c r="S1271" s="268"/>
    </row>
    <row r="1272" spans="1:19" ht="20.100000000000001" hidden="1" customHeight="1" x14ac:dyDescent="0.25">
      <c r="A1272" s="174"/>
      <c r="B1272" s="174"/>
      <c r="C1272" s="174"/>
      <c r="D1272" s="174">
        <v>3236</v>
      </c>
      <c r="E1272" s="174"/>
      <c r="F1272" s="44"/>
      <c r="G1272" s="181" t="s">
        <v>485</v>
      </c>
      <c r="H1272" s="38" t="s">
        <v>40</v>
      </c>
      <c r="I1272" s="282">
        <f t="shared" ref="I1272:M1273" si="213">I1273</f>
        <v>9750</v>
      </c>
      <c r="J1272" s="282">
        <f t="shared" si="213"/>
        <v>-700</v>
      </c>
      <c r="K1272" s="282">
        <f t="shared" si="213"/>
        <v>9050</v>
      </c>
      <c r="L1272" s="34">
        <f t="shared" si="213"/>
        <v>80000</v>
      </c>
      <c r="M1272" s="34">
        <f t="shared" si="213"/>
        <v>80000</v>
      </c>
      <c r="N1272" s="410"/>
      <c r="O1272" s="196"/>
      <c r="S1272" s="268"/>
    </row>
    <row r="1273" spans="1:19" ht="20.100000000000001" hidden="1" customHeight="1" x14ac:dyDescent="0.25">
      <c r="A1273" s="174"/>
      <c r="B1273" s="174"/>
      <c r="C1273" s="174"/>
      <c r="D1273" s="174"/>
      <c r="E1273" s="171" t="s">
        <v>202</v>
      </c>
      <c r="F1273" s="38"/>
      <c r="G1273" s="181" t="s">
        <v>485</v>
      </c>
      <c r="H1273" s="38" t="s">
        <v>203</v>
      </c>
      <c r="I1273" s="282">
        <f t="shared" si="213"/>
        <v>9750</v>
      </c>
      <c r="J1273" s="282">
        <f t="shared" si="213"/>
        <v>-700</v>
      </c>
      <c r="K1273" s="282">
        <f t="shared" si="213"/>
        <v>9050</v>
      </c>
      <c r="L1273" s="34">
        <f t="shared" si="213"/>
        <v>80000</v>
      </c>
      <c r="M1273" s="34">
        <f t="shared" si="213"/>
        <v>80000</v>
      </c>
      <c r="N1273" s="410"/>
      <c r="O1273" s="196"/>
      <c r="S1273" s="268"/>
    </row>
    <row r="1274" spans="1:19" ht="20.100000000000001" hidden="1" customHeight="1" x14ac:dyDescent="0.25">
      <c r="A1274" s="174"/>
      <c r="B1274" s="174"/>
      <c r="C1274" s="174"/>
      <c r="D1274" s="174"/>
      <c r="E1274" s="171"/>
      <c r="F1274" s="38" t="s">
        <v>204</v>
      </c>
      <c r="G1274" s="181" t="s">
        <v>485</v>
      </c>
      <c r="H1274" s="38" t="s">
        <v>203</v>
      </c>
      <c r="I1274" s="282">
        <v>9750</v>
      </c>
      <c r="J1274" s="282">
        <f>K1274-I1274</f>
        <v>-700</v>
      </c>
      <c r="K1274" s="282">
        <v>9050</v>
      </c>
      <c r="L1274" s="34">
        <v>80000</v>
      </c>
      <c r="M1274" s="34">
        <v>80000</v>
      </c>
      <c r="N1274" s="410"/>
      <c r="O1274" s="196"/>
      <c r="S1274" s="268"/>
    </row>
    <row r="1275" spans="1:19" ht="20.100000000000001" hidden="1" customHeight="1" x14ac:dyDescent="0.25">
      <c r="A1275" s="174"/>
      <c r="B1275" s="174"/>
      <c r="C1275" s="174"/>
      <c r="D1275" s="174"/>
      <c r="E1275" s="171" t="s">
        <v>205</v>
      </c>
      <c r="F1275" s="38"/>
      <c r="G1275" s="181" t="s">
        <v>466</v>
      </c>
      <c r="H1275" s="38" t="s">
        <v>206</v>
      </c>
      <c r="I1275" s="282"/>
      <c r="J1275" s="282"/>
      <c r="K1275" s="282"/>
      <c r="L1275" s="34"/>
      <c r="M1275" s="34"/>
      <c r="N1275" s="410"/>
      <c r="O1275" s="196"/>
      <c r="S1275" s="268"/>
    </row>
    <row r="1276" spans="1:19" ht="20.100000000000001" hidden="1" customHeight="1" x14ac:dyDescent="0.25">
      <c r="A1276" s="174"/>
      <c r="B1276" s="174"/>
      <c r="C1276" s="174"/>
      <c r="D1276" s="174"/>
      <c r="E1276" s="171"/>
      <c r="F1276" s="38" t="s">
        <v>207</v>
      </c>
      <c r="G1276" s="181" t="s">
        <v>466</v>
      </c>
      <c r="H1276" s="38" t="s">
        <v>206</v>
      </c>
      <c r="I1276" s="282"/>
      <c r="J1276" s="282"/>
      <c r="K1276" s="282"/>
      <c r="L1276" s="34"/>
      <c r="M1276" s="34"/>
      <c r="N1276" s="410"/>
      <c r="O1276" s="196"/>
      <c r="S1276" s="268"/>
    </row>
    <row r="1277" spans="1:19" ht="20.100000000000001" hidden="1" customHeight="1" x14ac:dyDescent="0.25">
      <c r="A1277" s="174"/>
      <c r="B1277" s="174"/>
      <c r="C1277" s="174"/>
      <c r="D1277" s="174">
        <v>3238</v>
      </c>
      <c r="E1277" s="174"/>
      <c r="F1277" s="44"/>
      <c r="G1277" s="181" t="s">
        <v>485</v>
      </c>
      <c r="H1277" s="38" t="s">
        <v>41</v>
      </c>
      <c r="I1277" s="282">
        <f t="shared" ref="I1277:M1278" si="214">I1278</f>
        <v>360</v>
      </c>
      <c r="J1277" s="282">
        <f t="shared" si="214"/>
        <v>0</v>
      </c>
      <c r="K1277" s="282">
        <f t="shared" si="214"/>
        <v>360</v>
      </c>
      <c r="L1277" s="34">
        <f t="shared" si="214"/>
        <v>1250</v>
      </c>
      <c r="M1277" s="34">
        <f t="shared" si="214"/>
        <v>1250</v>
      </c>
      <c r="N1277" s="410"/>
      <c r="O1277" s="196"/>
      <c r="S1277" s="268"/>
    </row>
    <row r="1278" spans="1:19" ht="20.100000000000001" hidden="1" customHeight="1" x14ac:dyDescent="0.25">
      <c r="A1278" s="174"/>
      <c r="B1278" s="174"/>
      <c r="C1278" s="174"/>
      <c r="D1278" s="174"/>
      <c r="E1278" s="171" t="s">
        <v>219</v>
      </c>
      <c r="F1278" s="38"/>
      <c r="G1278" s="181" t="s">
        <v>485</v>
      </c>
      <c r="H1278" s="38" t="s">
        <v>220</v>
      </c>
      <c r="I1278" s="282">
        <f t="shared" si="214"/>
        <v>360</v>
      </c>
      <c r="J1278" s="282">
        <f t="shared" si="214"/>
        <v>0</v>
      </c>
      <c r="K1278" s="282">
        <f t="shared" si="214"/>
        <v>360</v>
      </c>
      <c r="L1278" s="34">
        <f t="shared" si="214"/>
        <v>1250</v>
      </c>
      <c r="M1278" s="34">
        <f t="shared" si="214"/>
        <v>1250</v>
      </c>
      <c r="N1278" s="410"/>
      <c r="O1278" s="196"/>
      <c r="S1278" s="268"/>
    </row>
    <row r="1279" spans="1:19" ht="20.100000000000001" hidden="1" customHeight="1" x14ac:dyDescent="0.25">
      <c r="A1279" s="174"/>
      <c r="B1279" s="174"/>
      <c r="C1279" s="174"/>
      <c r="D1279" s="174"/>
      <c r="E1279" s="171"/>
      <c r="F1279" s="38" t="s">
        <v>221</v>
      </c>
      <c r="G1279" s="181" t="s">
        <v>485</v>
      </c>
      <c r="H1279" s="38" t="s">
        <v>220</v>
      </c>
      <c r="I1279" s="282">
        <v>360</v>
      </c>
      <c r="J1279" s="282">
        <f>K1279-I1279</f>
        <v>0</v>
      </c>
      <c r="K1279" s="282">
        <v>360</v>
      </c>
      <c r="L1279" s="34">
        <v>1250</v>
      </c>
      <c r="M1279" s="34">
        <v>1250</v>
      </c>
      <c r="N1279" s="410"/>
      <c r="O1279" s="196"/>
      <c r="Q1279" s="35"/>
      <c r="S1279" s="268"/>
    </row>
    <row r="1280" spans="1:19" ht="20.100000000000001" hidden="1" customHeight="1" x14ac:dyDescent="0.2">
      <c r="A1280" s="174"/>
      <c r="B1280" s="174"/>
      <c r="C1280" s="174"/>
      <c r="D1280" s="85">
        <v>3239</v>
      </c>
      <c r="E1280" s="85"/>
      <c r="F1280" s="85"/>
      <c r="G1280" s="181" t="s">
        <v>485</v>
      </c>
      <c r="H1280" s="38" t="s">
        <v>42</v>
      </c>
      <c r="I1280" s="282">
        <f t="shared" ref="I1280:K1281" si="215">I1281</f>
        <v>125</v>
      </c>
      <c r="J1280" s="282">
        <f t="shared" si="215"/>
        <v>0</v>
      </c>
      <c r="K1280" s="282">
        <f t="shared" si="215"/>
        <v>125</v>
      </c>
      <c r="L1280" s="34"/>
      <c r="M1280" s="34"/>
      <c r="N1280" s="410"/>
      <c r="O1280" s="196"/>
      <c r="Q1280" s="35"/>
      <c r="S1280" s="268"/>
    </row>
    <row r="1281" spans="1:19" ht="20.100000000000001" hidden="1" customHeight="1" x14ac:dyDescent="0.25">
      <c r="A1281" s="174"/>
      <c r="B1281" s="174"/>
      <c r="C1281" s="174"/>
      <c r="D1281" s="174"/>
      <c r="E1281" s="171" t="s">
        <v>225</v>
      </c>
      <c r="F1281" s="38"/>
      <c r="G1281" s="181" t="s">
        <v>485</v>
      </c>
      <c r="H1281" s="38" t="s">
        <v>226</v>
      </c>
      <c r="I1281" s="282">
        <f t="shared" si="215"/>
        <v>125</v>
      </c>
      <c r="J1281" s="282">
        <f t="shared" si="215"/>
        <v>0</v>
      </c>
      <c r="K1281" s="282">
        <f t="shared" si="215"/>
        <v>125</v>
      </c>
      <c r="L1281" s="34"/>
      <c r="M1281" s="34"/>
      <c r="N1281" s="410"/>
      <c r="O1281" s="196"/>
      <c r="Q1281" s="35"/>
      <c r="S1281" s="268"/>
    </row>
    <row r="1282" spans="1:19" ht="20.100000000000001" hidden="1" customHeight="1" x14ac:dyDescent="0.25">
      <c r="A1282" s="174"/>
      <c r="B1282" s="174"/>
      <c r="C1282" s="174"/>
      <c r="D1282" s="174"/>
      <c r="E1282" s="171"/>
      <c r="F1282" s="38" t="s">
        <v>227</v>
      </c>
      <c r="G1282" s="181" t="s">
        <v>485</v>
      </c>
      <c r="H1282" s="38" t="s">
        <v>226</v>
      </c>
      <c r="I1282" s="282">
        <v>125</v>
      </c>
      <c r="J1282" s="282">
        <f>K1282-I1282</f>
        <v>0</v>
      </c>
      <c r="K1282" s="282">
        <v>125</v>
      </c>
      <c r="L1282" s="34"/>
      <c r="M1282" s="34"/>
      <c r="N1282" s="410"/>
      <c r="O1282" s="196"/>
      <c r="Q1282" s="35"/>
      <c r="S1282" s="268"/>
    </row>
    <row r="1283" spans="1:19" ht="20.100000000000001" hidden="1" customHeight="1" x14ac:dyDescent="0.25">
      <c r="A1283" s="174"/>
      <c r="B1283" s="174"/>
      <c r="C1283" s="172">
        <v>329</v>
      </c>
      <c r="D1283" s="172"/>
      <c r="E1283" s="173"/>
      <c r="F1283" s="43"/>
      <c r="G1283" s="181" t="s">
        <v>485</v>
      </c>
      <c r="H1283" s="43" t="s">
        <v>45</v>
      </c>
      <c r="I1283" s="281">
        <f t="shared" ref="I1283:K1285" si="216">I1284</f>
        <v>130</v>
      </c>
      <c r="J1283" s="281">
        <f t="shared" si="216"/>
        <v>0</v>
      </c>
      <c r="K1283" s="281">
        <f t="shared" si="216"/>
        <v>130</v>
      </c>
      <c r="L1283" s="34"/>
      <c r="M1283" s="34"/>
      <c r="N1283" s="410"/>
      <c r="O1283" s="196"/>
      <c r="Q1283" s="35"/>
      <c r="S1283" s="268"/>
    </row>
    <row r="1284" spans="1:19" ht="20.100000000000001" hidden="1" customHeight="1" x14ac:dyDescent="0.25">
      <c r="A1284" s="174"/>
      <c r="B1284" s="174"/>
      <c r="C1284" s="174"/>
      <c r="D1284" s="174">
        <v>3292</v>
      </c>
      <c r="E1284" s="171"/>
      <c r="F1284" s="38"/>
      <c r="G1284" s="181" t="s">
        <v>485</v>
      </c>
      <c r="H1284" s="38" t="s">
        <v>47</v>
      </c>
      <c r="I1284" s="282">
        <f t="shared" si="216"/>
        <v>130</v>
      </c>
      <c r="J1284" s="282">
        <f t="shared" si="216"/>
        <v>0</v>
      </c>
      <c r="K1284" s="282">
        <f t="shared" si="216"/>
        <v>130</v>
      </c>
      <c r="L1284" s="34"/>
      <c r="M1284" s="34"/>
      <c r="N1284" s="410"/>
      <c r="O1284" s="196"/>
      <c r="Q1284" s="35"/>
      <c r="S1284" s="268"/>
    </row>
    <row r="1285" spans="1:19" ht="20.100000000000001" hidden="1" customHeight="1" x14ac:dyDescent="0.25">
      <c r="A1285" s="174"/>
      <c r="B1285" s="174"/>
      <c r="C1285" s="174"/>
      <c r="D1285" s="174"/>
      <c r="E1285" s="171" t="s">
        <v>251</v>
      </c>
      <c r="F1285" s="38"/>
      <c r="G1285" s="181" t="s">
        <v>485</v>
      </c>
      <c r="H1285" s="38" t="s">
        <v>252</v>
      </c>
      <c r="I1285" s="282">
        <f t="shared" si="216"/>
        <v>130</v>
      </c>
      <c r="J1285" s="282">
        <f t="shared" si="216"/>
        <v>0</v>
      </c>
      <c r="K1285" s="282">
        <f t="shared" si="216"/>
        <v>130</v>
      </c>
      <c r="L1285" s="34"/>
      <c r="M1285" s="34"/>
      <c r="N1285" s="410"/>
      <c r="O1285" s="196"/>
      <c r="Q1285" s="35"/>
      <c r="S1285" s="268"/>
    </row>
    <row r="1286" spans="1:19" ht="20.100000000000001" hidden="1" customHeight="1" x14ac:dyDescent="0.25">
      <c r="A1286" s="174"/>
      <c r="B1286" s="174"/>
      <c r="C1286" s="174"/>
      <c r="D1286" s="174"/>
      <c r="E1286" s="171"/>
      <c r="F1286" s="38" t="s">
        <v>253</v>
      </c>
      <c r="G1286" s="181" t="s">
        <v>485</v>
      </c>
      <c r="H1286" s="38" t="s">
        <v>252</v>
      </c>
      <c r="I1286" s="282">
        <v>130</v>
      </c>
      <c r="J1286" s="282">
        <f>K1286-I1286</f>
        <v>0</v>
      </c>
      <c r="K1286" s="282">
        <v>130</v>
      </c>
      <c r="L1286" s="34"/>
      <c r="M1286" s="34"/>
      <c r="N1286" s="410"/>
      <c r="O1286" s="196"/>
      <c r="Q1286" s="35"/>
      <c r="S1286" s="268"/>
    </row>
    <row r="1287" spans="1:19" ht="20.100000000000001" hidden="1" customHeight="1" x14ac:dyDescent="0.25">
      <c r="A1287" s="226"/>
      <c r="B1287" s="226"/>
      <c r="C1287" s="226"/>
      <c r="D1287" s="226"/>
      <c r="E1287" s="226"/>
      <c r="F1287" s="227"/>
      <c r="G1287" s="227"/>
      <c r="H1287" s="227" t="s">
        <v>363</v>
      </c>
      <c r="I1287" s="286"/>
      <c r="J1287" s="286"/>
      <c r="K1287" s="286"/>
      <c r="L1287" s="34"/>
      <c r="M1287" s="34"/>
      <c r="N1287" s="410"/>
      <c r="O1287" s="196"/>
      <c r="Q1287" s="35"/>
      <c r="S1287" s="268"/>
    </row>
    <row r="1288" spans="1:19" ht="20.100000000000001" hidden="1" customHeight="1" x14ac:dyDescent="0.25">
      <c r="A1288" s="172"/>
      <c r="B1288" s="172"/>
      <c r="C1288" s="172"/>
      <c r="D1288" s="172"/>
      <c r="E1288" s="172"/>
      <c r="F1288" s="42"/>
      <c r="G1288" s="42"/>
      <c r="H1288" s="43" t="s">
        <v>289</v>
      </c>
      <c r="I1288" s="282"/>
      <c r="J1288" s="282"/>
      <c r="K1288" s="282"/>
      <c r="L1288" s="34"/>
      <c r="M1288" s="34"/>
      <c r="N1288" s="410"/>
      <c r="O1288" s="196"/>
      <c r="Q1288" s="35"/>
      <c r="S1288" s="268"/>
    </row>
    <row r="1289" spans="1:19" ht="20.100000000000001" hidden="1" customHeight="1" x14ac:dyDescent="0.25">
      <c r="A1289" s="172">
        <v>3</v>
      </c>
      <c r="B1289" s="172"/>
      <c r="C1289" s="172"/>
      <c r="D1289" s="172"/>
      <c r="E1289" s="172"/>
      <c r="F1289" s="42"/>
      <c r="G1289" s="181">
        <v>31</v>
      </c>
      <c r="H1289" s="43" t="s">
        <v>81</v>
      </c>
      <c r="I1289" s="281">
        <f>I1290+I1309</f>
        <v>0</v>
      </c>
      <c r="J1289" s="281">
        <f>J1290+J1309</f>
        <v>0</v>
      </c>
      <c r="K1289" s="281">
        <f>K1290+K1309</f>
        <v>0</v>
      </c>
      <c r="L1289" s="34"/>
      <c r="M1289" s="34"/>
      <c r="N1289" s="410"/>
      <c r="O1289" s="196"/>
      <c r="Q1289" s="35"/>
      <c r="S1289" s="268"/>
    </row>
    <row r="1290" spans="1:19" ht="20.100000000000001" hidden="1" customHeight="1" x14ac:dyDescent="0.25">
      <c r="A1290" s="172"/>
      <c r="B1290" s="172">
        <v>31</v>
      </c>
      <c r="C1290" s="172"/>
      <c r="D1290" s="172"/>
      <c r="E1290" s="172"/>
      <c r="F1290" s="42"/>
      <c r="G1290" s="181">
        <v>31</v>
      </c>
      <c r="H1290" s="43" t="s">
        <v>13</v>
      </c>
      <c r="I1290" s="281">
        <f>I1291+I1300</f>
        <v>0</v>
      </c>
      <c r="J1290" s="281">
        <f>J1291+J1300</f>
        <v>0</v>
      </c>
      <c r="K1290" s="281">
        <f>K1291+K1300</f>
        <v>0</v>
      </c>
      <c r="L1290" s="34"/>
      <c r="M1290" s="34"/>
      <c r="N1290" s="410"/>
      <c r="O1290" s="196"/>
      <c r="Q1290" s="35"/>
      <c r="S1290" s="268"/>
    </row>
    <row r="1291" spans="1:19" ht="20.100000000000001" hidden="1" customHeight="1" x14ac:dyDescent="0.25">
      <c r="A1291" s="172"/>
      <c r="B1291" s="172"/>
      <c r="C1291" s="172">
        <v>311</v>
      </c>
      <c r="D1291" s="172"/>
      <c r="E1291" s="172"/>
      <c r="F1291" s="42"/>
      <c r="G1291" s="181">
        <v>31</v>
      </c>
      <c r="H1291" s="43" t="s">
        <v>14</v>
      </c>
      <c r="I1291" s="281">
        <f>I1292+I1295</f>
        <v>0</v>
      </c>
      <c r="J1291" s="281">
        <f>J1292+J1295</f>
        <v>0</v>
      </c>
      <c r="K1291" s="281">
        <f>K1292+K1295</f>
        <v>0</v>
      </c>
      <c r="L1291" s="34"/>
      <c r="M1291" s="34"/>
      <c r="N1291" s="410"/>
      <c r="O1291" s="196"/>
      <c r="Q1291" s="35"/>
      <c r="S1291" s="268"/>
    </row>
    <row r="1292" spans="1:19" ht="20.100000000000001" hidden="1" customHeight="1" x14ac:dyDescent="0.25">
      <c r="A1292" s="174"/>
      <c r="B1292" s="174"/>
      <c r="C1292" s="174"/>
      <c r="D1292" s="174">
        <v>3111</v>
      </c>
      <c r="E1292" s="174"/>
      <c r="F1292" s="44"/>
      <c r="G1292" s="181">
        <v>31</v>
      </c>
      <c r="H1292" s="38" t="s">
        <v>15</v>
      </c>
      <c r="I1292" s="282">
        <f t="shared" ref="I1292:K1293" si="217">I1293</f>
        <v>0</v>
      </c>
      <c r="J1292" s="282">
        <f t="shared" si="217"/>
        <v>0</v>
      </c>
      <c r="K1292" s="282">
        <f t="shared" si="217"/>
        <v>0</v>
      </c>
      <c r="L1292" s="34"/>
      <c r="M1292" s="34"/>
      <c r="N1292" s="410"/>
      <c r="O1292" s="196"/>
      <c r="Q1292" s="35"/>
      <c r="S1292" s="268"/>
    </row>
    <row r="1293" spans="1:19" ht="20.100000000000001" hidden="1" customHeight="1" x14ac:dyDescent="0.25">
      <c r="A1293" s="174"/>
      <c r="B1293" s="174"/>
      <c r="C1293" s="174"/>
      <c r="D1293" s="174"/>
      <c r="E1293" s="171" t="s">
        <v>290</v>
      </c>
      <c r="F1293" s="38"/>
      <c r="G1293" s="181">
        <v>31</v>
      </c>
      <c r="H1293" s="38" t="s">
        <v>291</v>
      </c>
      <c r="I1293" s="282">
        <f t="shared" si="217"/>
        <v>0</v>
      </c>
      <c r="J1293" s="282">
        <f t="shared" si="217"/>
        <v>0</v>
      </c>
      <c r="K1293" s="282">
        <f t="shared" si="217"/>
        <v>0</v>
      </c>
      <c r="L1293" s="34"/>
      <c r="M1293" s="34"/>
      <c r="N1293" s="410"/>
      <c r="O1293" s="196"/>
      <c r="Q1293" s="35"/>
      <c r="S1293" s="268"/>
    </row>
    <row r="1294" spans="1:19" ht="20.100000000000001" hidden="1" customHeight="1" x14ac:dyDescent="0.25">
      <c r="A1294" s="174"/>
      <c r="B1294" s="174"/>
      <c r="C1294" s="174"/>
      <c r="D1294" s="174"/>
      <c r="E1294" s="171"/>
      <c r="F1294" s="38" t="s">
        <v>292</v>
      </c>
      <c r="G1294" s="181">
        <v>31</v>
      </c>
      <c r="H1294" s="38" t="s">
        <v>291</v>
      </c>
      <c r="I1294" s="282">
        <v>0</v>
      </c>
      <c r="J1294" s="282">
        <f>K1294-I1294</f>
        <v>0</v>
      </c>
      <c r="K1294" s="282">
        <v>0</v>
      </c>
      <c r="L1294" s="34"/>
      <c r="M1294" s="34"/>
      <c r="N1294" s="410"/>
      <c r="O1294" s="196"/>
      <c r="Q1294" s="35"/>
      <c r="S1294" s="268"/>
    </row>
    <row r="1295" spans="1:19" ht="20.100000000000001" hidden="1" customHeight="1" x14ac:dyDescent="0.25">
      <c r="A1295" s="174"/>
      <c r="B1295" s="174"/>
      <c r="C1295" s="174"/>
      <c r="D1295" s="174">
        <v>3114</v>
      </c>
      <c r="E1295" s="174"/>
      <c r="F1295" s="44"/>
      <c r="G1295" s="181">
        <v>31</v>
      </c>
      <c r="H1295" s="38" t="s">
        <v>17</v>
      </c>
      <c r="I1295" s="282">
        <f t="shared" ref="I1295:K1296" si="218">I1296</f>
        <v>0</v>
      </c>
      <c r="J1295" s="282">
        <f t="shared" si="218"/>
        <v>0</v>
      </c>
      <c r="K1295" s="282">
        <f t="shared" si="218"/>
        <v>0</v>
      </c>
      <c r="L1295" s="34"/>
      <c r="M1295" s="34"/>
      <c r="N1295" s="410"/>
      <c r="O1295" s="196"/>
      <c r="Q1295" s="35"/>
      <c r="S1295" s="268"/>
    </row>
    <row r="1296" spans="1:19" ht="20.100000000000001" hidden="1" customHeight="1" x14ac:dyDescent="0.25">
      <c r="A1296" s="174"/>
      <c r="B1296" s="174"/>
      <c r="C1296" s="174"/>
      <c r="D1296" s="174"/>
      <c r="E1296" s="171" t="s">
        <v>295</v>
      </c>
      <c r="F1296" s="38"/>
      <c r="G1296" s="181">
        <v>31</v>
      </c>
      <c r="H1296" s="38" t="s">
        <v>17</v>
      </c>
      <c r="I1296" s="282">
        <f t="shared" si="218"/>
        <v>0</v>
      </c>
      <c r="J1296" s="282">
        <f t="shared" si="218"/>
        <v>0</v>
      </c>
      <c r="K1296" s="282">
        <f t="shared" si="218"/>
        <v>0</v>
      </c>
      <c r="L1296" s="34"/>
      <c r="M1296" s="34"/>
      <c r="N1296" s="410"/>
      <c r="O1296" s="196"/>
      <c r="Q1296" s="35"/>
      <c r="S1296" s="268"/>
    </row>
    <row r="1297" spans="1:19" ht="20.100000000000001" hidden="1" customHeight="1" x14ac:dyDescent="0.25">
      <c r="A1297" s="174"/>
      <c r="B1297" s="174"/>
      <c r="C1297" s="174"/>
      <c r="D1297" s="174"/>
      <c r="E1297" s="171"/>
      <c r="F1297" s="38" t="s">
        <v>296</v>
      </c>
      <c r="G1297" s="181">
        <v>31</v>
      </c>
      <c r="H1297" s="38" t="s">
        <v>17</v>
      </c>
      <c r="I1297" s="282">
        <v>0</v>
      </c>
      <c r="J1297" s="282">
        <f>K1297-I1297</f>
        <v>0</v>
      </c>
      <c r="K1297" s="282">
        <v>0</v>
      </c>
      <c r="L1297" s="34"/>
      <c r="M1297" s="34"/>
      <c r="N1297" s="410"/>
      <c r="O1297" s="196"/>
      <c r="Q1297" s="35"/>
      <c r="S1297" s="268"/>
    </row>
    <row r="1298" spans="1:19" ht="20.100000000000001" hidden="1" customHeight="1" x14ac:dyDescent="0.25">
      <c r="A1298" s="172"/>
      <c r="B1298" s="172"/>
      <c r="C1298" s="172">
        <v>312</v>
      </c>
      <c r="D1298" s="172"/>
      <c r="E1298" s="173"/>
      <c r="F1298" s="43"/>
      <c r="G1298" s="181">
        <v>31</v>
      </c>
      <c r="H1298" s="43" t="s">
        <v>18</v>
      </c>
      <c r="I1298" s="282">
        <f>I1299</f>
        <v>0</v>
      </c>
      <c r="J1298" s="282">
        <f>J1299</f>
        <v>0</v>
      </c>
      <c r="K1298" s="282">
        <f>K1299</f>
        <v>0</v>
      </c>
      <c r="L1298" s="34"/>
      <c r="M1298" s="34"/>
      <c r="N1298" s="410"/>
      <c r="O1298" s="196"/>
      <c r="Q1298" s="35"/>
      <c r="S1298" s="268"/>
    </row>
    <row r="1299" spans="1:19" ht="20.100000000000001" hidden="1" customHeight="1" x14ac:dyDescent="0.25">
      <c r="A1299" s="174"/>
      <c r="B1299" s="174"/>
      <c r="C1299" s="174"/>
      <c r="D1299" s="174">
        <v>3121</v>
      </c>
      <c r="E1299" s="171"/>
      <c r="F1299" s="38"/>
      <c r="G1299" s="181">
        <v>31</v>
      </c>
      <c r="H1299" s="38" t="s">
        <v>18</v>
      </c>
      <c r="I1299" s="282">
        <v>0</v>
      </c>
      <c r="J1299" s="282">
        <v>0</v>
      </c>
      <c r="K1299" s="282">
        <v>0</v>
      </c>
      <c r="L1299" s="34"/>
      <c r="M1299" s="34"/>
      <c r="N1299" s="410"/>
      <c r="O1299" s="196"/>
      <c r="Q1299" s="35"/>
      <c r="S1299" s="268"/>
    </row>
    <row r="1300" spans="1:19" ht="20.100000000000001" hidden="1" customHeight="1" x14ac:dyDescent="0.25">
      <c r="A1300" s="172"/>
      <c r="B1300" s="172"/>
      <c r="C1300" s="172">
        <v>313</v>
      </c>
      <c r="D1300" s="172"/>
      <c r="E1300" s="172"/>
      <c r="F1300" s="42"/>
      <c r="G1300" s="181">
        <v>31</v>
      </c>
      <c r="H1300" s="43" t="s">
        <v>100</v>
      </c>
      <c r="I1300" s="281">
        <f>I1301+I1306</f>
        <v>0</v>
      </c>
      <c r="J1300" s="281">
        <f>J1301+J1306</f>
        <v>0</v>
      </c>
      <c r="K1300" s="281">
        <f>K1301+K1306</f>
        <v>0</v>
      </c>
      <c r="L1300" s="34"/>
      <c r="M1300" s="34"/>
      <c r="N1300" s="410"/>
      <c r="O1300" s="196"/>
      <c r="Q1300" s="35"/>
      <c r="S1300" s="268"/>
    </row>
    <row r="1301" spans="1:19" ht="20.100000000000001" hidden="1" customHeight="1" x14ac:dyDescent="0.25">
      <c r="A1301" s="174"/>
      <c r="B1301" s="174"/>
      <c r="C1301" s="174"/>
      <c r="D1301" s="174">
        <v>3132</v>
      </c>
      <c r="E1301" s="174"/>
      <c r="F1301" s="44"/>
      <c r="G1301" s="181">
        <v>31</v>
      </c>
      <c r="H1301" s="38" t="s">
        <v>20</v>
      </c>
      <c r="I1301" s="282">
        <f>I1302+I1304</f>
        <v>0</v>
      </c>
      <c r="J1301" s="282">
        <f>J1302+J1304</f>
        <v>0</v>
      </c>
      <c r="K1301" s="282">
        <f>K1302+K1304</f>
        <v>0</v>
      </c>
      <c r="L1301" s="34"/>
      <c r="M1301" s="34"/>
      <c r="N1301" s="410"/>
      <c r="O1301" s="196"/>
      <c r="Q1301" s="35"/>
      <c r="S1301" s="268"/>
    </row>
    <row r="1302" spans="1:19" ht="20.100000000000001" hidden="1" customHeight="1" x14ac:dyDescent="0.25">
      <c r="A1302" s="174"/>
      <c r="B1302" s="174"/>
      <c r="C1302" s="174"/>
      <c r="D1302" s="174"/>
      <c r="E1302" s="171" t="s">
        <v>300</v>
      </c>
      <c r="F1302" s="38"/>
      <c r="G1302" s="181">
        <v>31</v>
      </c>
      <c r="H1302" s="38" t="s">
        <v>20</v>
      </c>
      <c r="I1302" s="282">
        <f>I1303</f>
        <v>0</v>
      </c>
      <c r="J1302" s="282">
        <f>J1303</f>
        <v>0</v>
      </c>
      <c r="K1302" s="282">
        <f>K1303</f>
        <v>0</v>
      </c>
      <c r="L1302" s="34"/>
      <c r="M1302" s="34"/>
      <c r="N1302" s="410"/>
      <c r="O1302" s="196"/>
      <c r="Q1302" s="35"/>
      <c r="S1302" s="268"/>
    </row>
    <row r="1303" spans="1:19" ht="20.100000000000001" hidden="1" customHeight="1" x14ac:dyDescent="0.25">
      <c r="A1303" s="174"/>
      <c r="B1303" s="174"/>
      <c r="C1303" s="174"/>
      <c r="D1303" s="174"/>
      <c r="E1303" s="171"/>
      <c r="F1303" s="38" t="s">
        <v>301</v>
      </c>
      <c r="G1303" s="181">
        <v>31</v>
      </c>
      <c r="H1303" s="38" t="s">
        <v>20</v>
      </c>
      <c r="I1303" s="282">
        <v>0</v>
      </c>
      <c r="J1303" s="282">
        <f>K1303-I1303</f>
        <v>0</v>
      </c>
      <c r="K1303" s="282">
        <v>0</v>
      </c>
      <c r="L1303" s="34"/>
      <c r="M1303" s="34"/>
      <c r="N1303" s="410"/>
      <c r="O1303" s="196"/>
      <c r="Q1303" s="35"/>
      <c r="S1303" s="268"/>
    </row>
    <row r="1304" spans="1:19" ht="30" hidden="1" customHeight="1" x14ac:dyDescent="0.25">
      <c r="A1304" s="174"/>
      <c r="B1304" s="174"/>
      <c r="C1304" s="174"/>
      <c r="D1304" s="174"/>
      <c r="E1304" s="171" t="s">
        <v>302</v>
      </c>
      <c r="F1304" s="38"/>
      <c r="G1304" s="181">
        <v>31</v>
      </c>
      <c r="H1304" s="38" t="s">
        <v>101</v>
      </c>
      <c r="I1304" s="282">
        <f>I1305</f>
        <v>0</v>
      </c>
      <c r="J1304" s="282">
        <f>J1305</f>
        <v>0</v>
      </c>
      <c r="K1304" s="282">
        <f>K1305</f>
        <v>0</v>
      </c>
      <c r="L1304" s="34"/>
      <c r="M1304" s="34"/>
      <c r="N1304" s="410"/>
      <c r="O1304" s="196"/>
      <c r="Q1304" s="35"/>
      <c r="S1304" s="268"/>
    </row>
    <row r="1305" spans="1:19" ht="30" hidden="1" customHeight="1" x14ac:dyDescent="0.25">
      <c r="A1305" s="174"/>
      <c r="B1305" s="174"/>
      <c r="C1305" s="174"/>
      <c r="D1305" s="174"/>
      <c r="E1305" s="171"/>
      <c r="F1305" s="38" t="s">
        <v>303</v>
      </c>
      <c r="G1305" s="181">
        <v>31</v>
      </c>
      <c r="H1305" s="38" t="s">
        <v>101</v>
      </c>
      <c r="I1305" s="282">
        <v>0</v>
      </c>
      <c r="J1305" s="282">
        <f>K1305-I1305</f>
        <v>0</v>
      </c>
      <c r="K1305" s="282">
        <v>0</v>
      </c>
      <c r="L1305" s="34"/>
      <c r="M1305" s="34"/>
      <c r="N1305" s="410"/>
      <c r="O1305" s="196"/>
      <c r="Q1305" s="35"/>
      <c r="S1305" s="268"/>
    </row>
    <row r="1306" spans="1:19" ht="30" hidden="1" customHeight="1" x14ac:dyDescent="0.25">
      <c r="A1306" s="174"/>
      <c r="B1306" s="174"/>
      <c r="C1306" s="174"/>
      <c r="D1306" s="174">
        <v>3133</v>
      </c>
      <c r="E1306" s="174"/>
      <c r="F1306" s="44"/>
      <c r="G1306" s="181">
        <v>31</v>
      </c>
      <c r="H1306" s="38" t="s">
        <v>21</v>
      </c>
      <c r="I1306" s="282">
        <f t="shared" ref="I1306:K1307" si="219">I1307</f>
        <v>0</v>
      </c>
      <c r="J1306" s="282">
        <f t="shared" si="219"/>
        <v>0</v>
      </c>
      <c r="K1306" s="282">
        <f t="shared" si="219"/>
        <v>0</v>
      </c>
      <c r="L1306" s="34"/>
      <c r="M1306" s="34"/>
      <c r="N1306" s="410"/>
      <c r="O1306" s="196"/>
      <c r="Q1306" s="35"/>
      <c r="S1306" s="268"/>
    </row>
    <row r="1307" spans="1:19" ht="30" hidden="1" customHeight="1" x14ac:dyDescent="0.25">
      <c r="A1307" s="174"/>
      <c r="B1307" s="174"/>
      <c r="C1307" s="174"/>
      <c r="D1307" s="174"/>
      <c r="E1307" s="171" t="s">
        <v>304</v>
      </c>
      <c r="F1307" s="38"/>
      <c r="G1307" s="181">
        <v>31</v>
      </c>
      <c r="H1307" s="38" t="s">
        <v>21</v>
      </c>
      <c r="I1307" s="282">
        <f t="shared" si="219"/>
        <v>0</v>
      </c>
      <c r="J1307" s="282">
        <f t="shared" si="219"/>
        <v>0</v>
      </c>
      <c r="K1307" s="282">
        <f t="shared" si="219"/>
        <v>0</v>
      </c>
      <c r="L1307" s="34"/>
      <c r="M1307" s="34"/>
      <c r="N1307" s="410"/>
      <c r="O1307" s="196"/>
      <c r="Q1307" s="35"/>
      <c r="S1307" s="268"/>
    </row>
    <row r="1308" spans="1:19" ht="30" hidden="1" customHeight="1" x14ac:dyDescent="0.25">
      <c r="A1308" s="174"/>
      <c r="B1308" s="174"/>
      <c r="C1308" s="174"/>
      <c r="D1308" s="174"/>
      <c r="E1308" s="171"/>
      <c r="F1308" s="38" t="s">
        <v>305</v>
      </c>
      <c r="G1308" s="181">
        <v>31</v>
      </c>
      <c r="H1308" s="38" t="s">
        <v>21</v>
      </c>
      <c r="I1308" s="282">
        <v>0</v>
      </c>
      <c r="J1308" s="282">
        <f>K1308-I1308</f>
        <v>0</v>
      </c>
      <c r="K1308" s="282">
        <v>0</v>
      </c>
      <c r="L1308" s="34"/>
      <c r="M1308" s="34"/>
      <c r="N1308" s="410"/>
      <c r="O1308" s="196"/>
      <c r="Q1308" s="35"/>
      <c r="S1308" s="268"/>
    </row>
    <row r="1309" spans="1:19" ht="20.100000000000001" hidden="1" customHeight="1" x14ac:dyDescent="0.25">
      <c r="A1309" s="172"/>
      <c r="B1309" s="172">
        <v>32</v>
      </c>
      <c r="C1309" s="172"/>
      <c r="D1309" s="172"/>
      <c r="E1309" s="172"/>
      <c r="F1309" s="42"/>
      <c r="G1309" s="181">
        <v>31</v>
      </c>
      <c r="H1309" s="43" t="s">
        <v>22</v>
      </c>
      <c r="I1309" s="281">
        <f>I1310+I1326+I1350</f>
        <v>0</v>
      </c>
      <c r="J1309" s="281">
        <f>J1310+J1326+J1350</f>
        <v>0</v>
      </c>
      <c r="K1309" s="281">
        <f>K1310+K1326+K1350</f>
        <v>0</v>
      </c>
      <c r="L1309" s="34"/>
      <c r="M1309" s="34"/>
      <c r="N1309" s="410"/>
      <c r="O1309" s="196"/>
      <c r="Q1309" s="35"/>
      <c r="S1309" s="268"/>
    </row>
    <row r="1310" spans="1:19" ht="20.100000000000001" hidden="1" customHeight="1" x14ac:dyDescent="0.25">
      <c r="A1310" s="172"/>
      <c r="B1310" s="172"/>
      <c r="C1310" s="172">
        <v>321</v>
      </c>
      <c r="D1310" s="172"/>
      <c r="E1310" s="172"/>
      <c r="F1310" s="42"/>
      <c r="G1310" s="181">
        <v>31</v>
      </c>
      <c r="H1310" s="43" t="s">
        <v>23</v>
      </c>
      <c r="I1310" s="281">
        <f>I1311+I1320</f>
        <v>0</v>
      </c>
      <c r="J1310" s="281">
        <f>J1311+J1320</f>
        <v>0</v>
      </c>
      <c r="K1310" s="281">
        <f>K1311+K1320</f>
        <v>0</v>
      </c>
      <c r="L1310" s="34"/>
      <c r="M1310" s="34"/>
      <c r="N1310" s="410"/>
      <c r="O1310" s="196"/>
      <c r="Q1310" s="35"/>
      <c r="S1310" s="268"/>
    </row>
    <row r="1311" spans="1:19" ht="20.100000000000001" hidden="1" customHeight="1" x14ac:dyDescent="0.25">
      <c r="A1311" s="174"/>
      <c r="B1311" s="174"/>
      <c r="C1311" s="174"/>
      <c r="D1311" s="174">
        <v>3211</v>
      </c>
      <c r="E1311" s="174"/>
      <c r="F1311" s="44"/>
      <c r="G1311" s="181">
        <v>31</v>
      </c>
      <c r="H1311" s="38" t="s">
        <v>24</v>
      </c>
      <c r="I1311" s="282">
        <f t="shared" ref="I1311:K1312" si="220">I1312</f>
        <v>0</v>
      </c>
      <c r="J1311" s="282">
        <f t="shared" si="220"/>
        <v>0</v>
      </c>
      <c r="K1311" s="282">
        <f t="shared" si="220"/>
        <v>0</v>
      </c>
      <c r="L1311" s="34"/>
      <c r="M1311" s="34"/>
      <c r="N1311" s="410"/>
      <c r="O1311" s="196"/>
      <c r="Q1311" s="35"/>
      <c r="S1311" s="268"/>
    </row>
    <row r="1312" spans="1:19" ht="20.100000000000001" hidden="1" customHeight="1" x14ac:dyDescent="0.25">
      <c r="A1312" s="174"/>
      <c r="B1312" s="174"/>
      <c r="C1312" s="174"/>
      <c r="D1312" s="174"/>
      <c r="E1312" s="171" t="s">
        <v>306</v>
      </c>
      <c r="F1312" s="38"/>
      <c r="G1312" s="181">
        <v>31</v>
      </c>
      <c r="H1312" s="38" t="s">
        <v>102</v>
      </c>
      <c r="I1312" s="282">
        <f t="shared" si="220"/>
        <v>0</v>
      </c>
      <c r="J1312" s="282">
        <f t="shared" si="220"/>
        <v>0</v>
      </c>
      <c r="K1312" s="282">
        <f t="shared" si="220"/>
        <v>0</v>
      </c>
      <c r="L1312" s="34"/>
      <c r="M1312" s="34"/>
      <c r="N1312" s="410"/>
      <c r="O1312" s="196"/>
      <c r="Q1312" s="35"/>
      <c r="S1312" s="268"/>
    </row>
    <row r="1313" spans="1:19" ht="20.100000000000001" hidden="1" customHeight="1" x14ac:dyDescent="0.25">
      <c r="A1313" s="174"/>
      <c r="B1313" s="174"/>
      <c r="C1313" s="174"/>
      <c r="D1313" s="174"/>
      <c r="E1313" s="171"/>
      <c r="F1313" s="38" t="s">
        <v>307</v>
      </c>
      <c r="G1313" s="181">
        <v>31</v>
      </c>
      <c r="H1313" s="38" t="s">
        <v>102</v>
      </c>
      <c r="I1313" s="282">
        <v>0</v>
      </c>
      <c r="J1313" s="282">
        <f>K1313-I1313</f>
        <v>0</v>
      </c>
      <c r="K1313" s="282">
        <v>0</v>
      </c>
      <c r="L1313" s="34"/>
      <c r="M1313" s="34"/>
      <c r="N1313" s="410"/>
      <c r="O1313" s="196"/>
      <c r="Q1313" s="35"/>
      <c r="S1313" s="268"/>
    </row>
    <row r="1314" spans="1:19" ht="20.100000000000001" hidden="1" customHeight="1" x14ac:dyDescent="0.25">
      <c r="A1314" s="174"/>
      <c r="B1314" s="174"/>
      <c r="C1314" s="174"/>
      <c r="D1314" s="174"/>
      <c r="E1314" s="171" t="s">
        <v>308</v>
      </c>
      <c r="F1314" s="38"/>
      <c r="G1314" s="181">
        <v>31</v>
      </c>
      <c r="H1314" s="38" t="s">
        <v>103</v>
      </c>
      <c r="I1314" s="282"/>
      <c r="J1314" s="282"/>
      <c r="K1314" s="282"/>
      <c r="L1314" s="34"/>
      <c r="M1314" s="34"/>
      <c r="N1314" s="410"/>
      <c r="O1314" s="196"/>
      <c r="Q1314" s="35"/>
      <c r="S1314" s="268"/>
    </row>
    <row r="1315" spans="1:19" ht="20.100000000000001" hidden="1" customHeight="1" x14ac:dyDescent="0.25">
      <c r="A1315" s="174"/>
      <c r="B1315" s="174"/>
      <c r="C1315" s="174"/>
      <c r="D1315" s="174"/>
      <c r="E1315" s="171"/>
      <c r="F1315" s="38" t="s">
        <v>309</v>
      </c>
      <c r="G1315" s="181">
        <v>31</v>
      </c>
      <c r="H1315" s="38" t="s">
        <v>103</v>
      </c>
      <c r="I1315" s="282"/>
      <c r="J1315" s="282"/>
      <c r="K1315" s="282"/>
      <c r="L1315" s="34"/>
      <c r="M1315" s="34"/>
      <c r="N1315" s="410"/>
      <c r="O1315" s="196"/>
      <c r="Q1315" s="35"/>
      <c r="S1315" s="268"/>
    </row>
    <row r="1316" spans="1:19" ht="20.100000000000001" hidden="1" customHeight="1" x14ac:dyDescent="0.25">
      <c r="A1316" s="174"/>
      <c r="B1316" s="174"/>
      <c r="C1316" s="174"/>
      <c r="D1316" s="174"/>
      <c r="E1316" s="171" t="s">
        <v>310</v>
      </c>
      <c r="F1316" s="38"/>
      <c r="G1316" s="181">
        <v>31</v>
      </c>
      <c r="H1316" s="38" t="s">
        <v>351</v>
      </c>
      <c r="I1316" s="282"/>
      <c r="J1316" s="282"/>
      <c r="K1316" s="282"/>
      <c r="L1316" s="34"/>
      <c r="M1316" s="34"/>
      <c r="N1316" s="410"/>
      <c r="O1316" s="196"/>
      <c r="Q1316" s="35"/>
      <c r="S1316" s="268"/>
    </row>
    <row r="1317" spans="1:19" ht="20.100000000000001" hidden="1" customHeight="1" x14ac:dyDescent="0.25">
      <c r="A1317" s="174"/>
      <c r="B1317" s="174"/>
      <c r="C1317" s="174"/>
      <c r="D1317" s="174"/>
      <c r="E1317" s="171"/>
      <c r="F1317" s="38" t="s">
        <v>311</v>
      </c>
      <c r="G1317" s="181">
        <v>31</v>
      </c>
      <c r="H1317" s="38" t="s">
        <v>351</v>
      </c>
      <c r="I1317" s="282"/>
      <c r="J1317" s="282"/>
      <c r="K1317" s="282"/>
      <c r="L1317" s="34"/>
      <c r="M1317" s="34"/>
      <c r="N1317" s="410"/>
      <c r="O1317" s="196"/>
      <c r="Q1317" s="35"/>
      <c r="S1317" s="268"/>
    </row>
    <row r="1318" spans="1:19" ht="20.100000000000001" hidden="1" customHeight="1" x14ac:dyDescent="0.25">
      <c r="A1318" s="174"/>
      <c r="B1318" s="174"/>
      <c r="C1318" s="174"/>
      <c r="D1318" s="174"/>
      <c r="E1318" s="171" t="s">
        <v>312</v>
      </c>
      <c r="F1318" s="38"/>
      <c r="G1318" s="181">
        <v>31</v>
      </c>
      <c r="H1318" s="38" t="s">
        <v>105</v>
      </c>
      <c r="I1318" s="282"/>
      <c r="J1318" s="282"/>
      <c r="K1318" s="282"/>
      <c r="L1318" s="34"/>
      <c r="M1318" s="34"/>
      <c r="N1318" s="410"/>
      <c r="O1318" s="196"/>
      <c r="Q1318" s="35"/>
      <c r="S1318" s="268"/>
    </row>
    <row r="1319" spans="1:19" ht="20.100000000000001" hidden="1" customHeight="1" x14ac:dyDescent="0.25">
      <c r="A1319" s="174"/>
      <c r="B1319" s="174"/>
      <c r="C1319" s="174"/>
      <c r="D1319" s="174"/>
      <c r="E1319" s="171"/>
      <c r="F1319" s="38" t="s">
        <v>313</v>
      </c>
      <c r="G1319" s="181">
        <v>31</v>
      </c>
      <c r="H1319" s="38" t="s">
        <v>105</v>
      </c>
      <c r="I1319" s="282"/>
      <c r="J1319" s="282"/>
      <c r="K1319" s="282"/>
      <c r="L1319" s="34"/>
      <c r="M1319" s="34"/>
      <c r="N1319" s="410"/>
      <c r="O1319" s="196"/>
      <c r="Q1319" s="35"/>
      <c r="S1319" s="268"/>
    </row>
    <row r="1320" spans="1:19" ht="20.100000000000001" hidden="1" customHeight="1" x14ac:dyDescent="0.25">
      <c r="A1320" s="174"/>
      <c r="B1320" s="174"/>
      <c r="C1320" s="174"/>
      <c r="D1320" s="174">
        <v>3213</v>
      </c>
      <c r="E1320" s="174"/>
      <c r="F1320" s="44"/>
      <c r="G1320" s="181">
        <v>31</v>
      </c>
      <c r="H1320" s="38" t="s">
        <v>26</v>
      </c>
      <c r="I1320" s="282">
        <f t="shared" ref="I1320:K1321" si="221">I1321</f>
        <v>0</v>
      </c>
      <c r="J1320" s="282">
        <f t="shared" si="221"/>
        <v>0</v>
      </c>
      <c r="K1320" s="282">
        <f t="shared" si="221"/>
        <v>0</v>
      </c>
      <c r="L1320" s="34"/>
      <c r="M1320" s="34"/>
      <c r="N1320" s="410"/>
      <c r="O1320" s="196"/>
      <c r="Q1320" s="35"/>
      <c r="S1320" s="268"/>
    </row>
    <row r="1321" spans="1:19" ht="20.100000000000001" hidden="1" customHeight="1" x14ac:dyDescent="0.25">
      <c r="A1321" s="174"/>
      <c r="B1321" s="174"/>
      <c r="C1321" s="174"/>
      <c r="D1321" s="174"/>
      <c r="E1321" s="171" t="s">
        <v>108</v>
      </c>
      <c r="F1321" s="38"/>
      <c r="G1321" s="181">
        <v>31</v>
      </c>
      <c r="H1321" s="38" t="s">
        <v>109</v>
      </c>
      <c r="I1321" s="282">
        <f t="shared" si="221"/>
        <v>0</v>
      </c>
      <c r="J1321" s="282">
        <f t="shared" si="221"/>
        <v>0</v>
      </c>
      <c r="K1321" s="282">
        <f t="shared" si="221"/>
        <v>0</v>
      </c>
      <c r="L1321" s="34"/>
      <c r="M1321" s="34"/>
      <c r="N1321" s="410"/>
      <c r="O1321" s="196"/>
      <c r="Q1321" s="35"/>
      <c r="S1321" s="268"/>
    </row>
    <row r="1322" spans="1:19" ht="20.100000000000001" hidden="1" customHeight="1" x14ac:dyDescent="0.25">
      <c r="A1322" s="174"/>
      <c r="B1322" s="174"/>
      <c r="C1322" s="174"/>
      <c r="D1322" s="174"/>
      <c r="E1322" s="171"/>
      <c r="F1322" s="38" t="s">
        <v>110</v>
      </c>
      <c r="G1322" s="181">
        <v>31</v>
      </c>
      <c r="H1322" s="38" t="s">
        <v>319</v>
      </c>
      <c r="I1322" s="282">
        <v>0</v>
      </c>
      <c r="J1322" s="282">
        <f>K1322-I1322</f>
        <v>0</v>
      </c>
      <c r="K1322" s="282">
        <v>0</v>
      </c>
      <c r="L1322" s="34"/>
      <c r="M1322" s="34"/>
      <c r="N1322" s="410"/>
      <c r="O1322" s="196"/>
      <c r="Q1322" s="35"/>
      <c r="S1322" s="268"/>
    </row>
    <row r="1323" spans="1:19" ht="20.100000000000001" hidden="1" customHeight="1" x14ac:dyDescent="0.25">
      <c r="A1323" s="174"/>
      <c r="B1323" s="174"/>
      <c r="C1323" s="174"/>
      <c r="D1323" s="174"/>
      <c r="E1323" s="171"/>
      <c r="F1323" s="38" t="s">
        <v>112</v>
      </c>
      <c r="G1323" s="181">
        <v>31</v>
      </c>
      <c r="H1323" s="38" t="s">
        <v>320</v>
      </c>
      <c r="I1323" s="282"/>
      <c r="J1323" s="282"/>
      <c r="K1323" s="282"/>
      <c r="L1323" s="34"/>
      <c r="M1323" s="34"/>
      <c r="N1323" s="410"/>
      <c r="O1323" s="196"/>
      <c r="Q1323" s="35"/>
      <c r="S1323" s="268"/>
    </row>
    <row r="1324" spans="1:19" ht="20.100000000000001" hidden="1" customHeight="1" x14ac:dyDescent="0.25">
      <c r="A1324" s="174"/>
      <c r="B1324" s="174"/>
      <c r="C1324" s="174"/>
      <c r="D1324" s="174"/>
      <c r="E1324" s="171" t="s">
        <v>114</v>
      </c>
      <c r="F1324" s="38"/>
      <c r="G1324" s="181">
        <v>31</v>
      </c>
      <c r="H1324" s="38" t="s">
        <v>115</v>
      </c>
      <c r="I1324" s="282"/>
      <c r="J1324" s="282"/>
      <c r="K1324" s="282"/>
      <c r="L1324" s="34"/>
      <c r="M1324" s="34"/>
      <c r="N1324" s="410"/>
      <c r="O1324" s="196"/>
      <c r="Q1324" s="35"/>
      <c r="S1324" s="268"/>
    </row>
    <row r="1325" spans="1:19" ht="20.100000000000001" hidden="1" customHeight="1" x14ac:dyDescent="0.25">
      <c r="A1325" s="174"/>
      <c r="B1325" s="174"/>
      <c r="C1325" s="174"/>
      <c r="D1325" s="174"/>
      <c r="E1325" s="171"/>
      <c r="F1325" s="38" t="s">
        <v>116</v>
      </c>
      <c r="G1325" s="181">
        <v>31</v>
      </c>
      <c r="H1325" s="38" t="s">
        <v>115</v>
      </c>
      <c r="I1325" s="282"/>
      <c r="J1325" s="282"/>
      <c r="K1325" s="282"/>
      <c r="L1325" s="34"/>
      <c r="M1325" s="34"/>
      <c r="N1325" s="410"/>
      <c r="O1325" s="196"/>
      <c r="Q1325" s="35"/>
      <c r="S1325" s="268"/>
    </row>
    <row r="1326" spans="1:19" ht="20.100000000000001" hidden="1" customHeight="1" x14ac:dyDescent="0.25">
      <c r="A1326" s="172"/>
      <c r="B1326" s="172"/>
      <c r="C1326" s="172">
        <v>322</v>
      </c>
      <c r="D1326" s="172"/>
      <c r="E1326" s="172"/>
      <c r="F1326" s="42"/>
      <c r="G1326" s="181">
        <v>31</v>
      </c>
      <c r="H1326" s="43" t="s">
        <v>27</v>
      </c>
      <c r="I1326" s="281">
        <f>I1327+I1337+I1342</f>
        <v>0</v>
      </c>
      <c r="J1326" s="281">
        <f>J1327+J1337+J1342</f>
        <v>0</v>
      </c>
      <c r="K1326" s="281">
        <f>K1327+K1337+K1342</f>
        <v>0</v>
      </c>
      <c r="L1326" s="34"/>
      <c r="M1326" s="34"/>
      <c r="N1326" s="410"/>
      <c r="O1326" s="196"/>
      <c r="Q1326" s="35"/>
      <c r="S1326" s="268"/>
    </row>
    <row r="1327" spans="1:19" ht="20.100000000000001" hidden="1" customHeight="1" x14ac:dyDescent="0.25">
      <c r="A1327" s="174"/>
      <c r="B1327" s="174"/>
      <c r="C1327" s="174"/>
      <c r="D1327" s="174">
        <v>3221</v>
      </c>
      <c r="E1327" s="174"/>
      <c r="F1327" s="44"/>
      <c r="G1327" s="181">
        <v>31</v>
      </c>
      <c r="H1327" s="38" t="s">
        <v>117</v>
      </c>
      <c r="I1327" s="282">
        <f>I1328+I1333+I1335</f>
        <v>0</v>
      </c>
      <c r="J1327" s="282">
        <f>J1328+J1333+J1335</f>
        <v>0</v>
      </c>
      <c r="K1327" s="282">
        <f>K1328+K1333+K1335</f>
        <v>0</v>
      </c>
      <c r="L1327" s="34"/>
      <c r="M1327" s="34"/>
      <c r="N1327" s="410"/>
      <c r="O1327" s="196"/>
      <c r="Q1327" s="35"/>
      <c r="S1327" s="268"/>
    </row>
    <row r="1328" spans="1:19" ht="20.100000000000001" hidden="1" customHeight="1" x14ac:dyDescent="0.25">
      <c r="A1328" s="174"/>
      <c r="B1328" s="174"/>
      <c r="C1328" s="174"/>
      <c r="D1328" s="174"/>
      <c r="E1328" s="171" t="s">
        <v>118</v>
      </c>
      <c r="F1328" s="38"/>
      <c r="G1328" s="181">
        <v>31</v>
      </c>
      <c r="H1328" s="38" t="s">
        <v>119</v>
      </c>
      <c r="I1328" s="282">
        <f>I1329+I1330</f>
        <v>0</v>
      </c>
      <c r="J1328" s="282">
        <f>J1329+J1330</f>
        <v>0</v>
      </c>
      <c r="K1328" s="282">
        <f>K1329+K1330</f>
        <v>0</v>
      </c>
      <c r="L1328" s="34"/>
      <c r="M1328" s="34"/>
      <c r="N1328" s="410"/>
      <c r="O1328" s="196"/>
      <c r="Q1328" s="35"/>
      <c r="S1328" s="268"/>
    </row>
    <row r="1329" spans="1:19" ht="20.100000000000001" hidden="1" customHeight="1" x14ac:dyDescent="0.25">
      <c r="A1329" s="174"/>
      <c r="B1329" s="174"/>
      <c r="C1329" s="174"/>
      <c r="D1329" s="174"/>
      <c r="E1329" s="171"/>
      <c r="F1329" s="38" t="s">
        <v>120</v>
      </c>
      <c r="G1329" s="181">
        <v>31</v>
      </c>
      <c r="H1329" s="38" t="s">
        <v>119</v>
      </c>
      <c r="I1329" s="282">
        <v>0</v>
      </c>
      <c r="J1329" s="282">
        <f>K1329-I1329</f>
        <v>0</v>
      </c>
      <c r="K1329" s="282">
        <v>0</v>
      </c>
      <c r="L1329" s="34"/>
      <c r="M1329" s="34"/>
      <c r="N1329" s="410"/>
      <c r="O1329" s="196"/>
      <c r="Q1329" s="35"/>
      <c r="S1329" s="268"/>
    </row>
    <row r="1330" spans="1:19" ht="20.100000000000001" hidden="1" customHeight="1" x14ac:dyDescent="0.25">
      <c r="A1330" s="174"/>
      <c r="B1330" s="174"/>
      <c r="C1330" s="174"/>
      <c r="D1330" s="174"/>
      <c r="E1330" s="171"/>
      <c r="F1330" s="38" t="s">
        <v>121</v>
      </c>
      <c r="G1330" s="181">
        <v>31</v>
      </c>
      <c r="H1330" s="38" t="s">
        <v>321</v>
      </c>
      <c r="I1330" s="282">
        <v>0</v>
      </c>
      <c r="J1330" s="282">
        <f>K1330-I1330</f>
        <v>0</v>
      </c>
      <c r="K1330" s="282">
        <v>0</v>
      </c>
      <c r="L1330" s="34"/>
      <c r="M1330" s="34"/>
      <c r="N1330" s="410"/>
      <c r="O1330" s="196"/>
      <c r="Q1330" s="35"/>
      <c r="S1330" s="268"/>
    </row>
    <row r="1331" spans="1:19" ht="30" hidden="1" customHeight="1" x14ac:dyDescent="0.25">
      <c r="A1331" s="174"/>
      <c r="B1331" s="174"/>
      <c r="C1331" s="174"/>
      <c r="D1331" s="174"/>
      <c r="E1331" s="171" t="s">
        <v>123</v>
      </c>
      <c r="F1331" s="38"/>
      <c r="G1331" s="181">
        <v>31</v>
      </c>
      <c r="H1331" s="38" t="s">
        <v>124</v>
      </c>
      <c r="I1331" s="282"/>
      <c r="J1331" s="282"/>
      <c r="K1331" s="282"/>
      <c r="L1331" s="34"/>
      <c r="M1331" s="34"/>
      <c r="N1331" s="410"/>
      <c r="O1331" s="196"/>
      <c r="Q1331" s="35"/>
      <c r="S1331" s="268"/>
    </row>
    <row r="1332" spans="1:19" ht="30" hidden="1" customHeight="1" x14ac:dyDescent="0.25">
      <c r="A1332" s="174"/>
      <c r="B1332" s="174"/>
      <c r="C1332" s="174"/>
      <c r="D1332" s="174"/>
      <c r="E1332" s="171"/>
      <c r="F1332" s="38" t="s">
        <v>125</v>
      </c>
      <c r="G1332" s="181">
        <v>31</v>
      </c>
      <c r="H1332" s="38" t="s">
        <v>124</v>
      </c>
      <c r="I1332" s="282"/>
      <c r="J1332" s="282"/>
      <c r="K1332" s="282"/>
      <c r="L1332" s="34"/>
      <c r="M1332" s="34"/>
      <c r="N1332" s="410"/>
      <c r="O1332" s="196"/>
      <c r="Q1332" s="35"/>
      <c r="S1332" s="268"/>
    </row>
    <row r="1333" spans="1:19" ht="20.100000000000001" hidden="1" customHeight="1" x14ac:dyDescent="0.25">
      <c r="A1333" s="174"/>
      <c r="B1333" s="174"/>
      <c r="C1333" s="174"/>
      <c r="D1333" s="174"/>
      <c r="E1333" s="171" t="s">
        <v>126</v>
      </c>
      <c r="F1333" s="38"/>
      <c r="G1333" s="181">
        <v>31</v>
      </c>
      <c r="H1333" s="38" t="s">
        <v>127</v>
      </c>
      <c r="I1333" s="282">
        <f>I1334</f>
        <v>0</v>
      </c>
      <c r="J1333" s="282">
        <f>J1334</f>
        <v>0</v>
      </c>
      <c r="K1333" s="282">
        <f>K1334</f>
        <v>0</v>
      </c>
      <c r="L1333" s="34"/>
      <c r="M1333" s="34"/>
      <c r="N1333" s="410"/>
      <c r="O1333" s="196"/>
      <c r="Q1333" s="35"/>
      <c r="S1333" s="268"/>
    </row>
    <row r="1334" spans="1:19" ht="20.100000000000001" hidden="1" customHeight="1" x14ac:dyDescent="0.25">
      <c r="A1334" s="174"/>
      <c r="B1334" s="174"/>
      <c r="C1334" s="174"/>
      <c r="D1334" s="174"/>
      <c r="E1334" s="171"/>
      <c r="F1334" s="38" t="s">
        <v>128</v>
      </c>
      <c r="G1334" s="181">
        <v>31</v>
      </c>
      <c r="H1334" s="38" t="s">
        <v>127</v>
      </c>
      <c r="I1334" s="282">
        <v>0</v>
      </c>
      <c r="J1334" s="282">
        <f>K1334-I1334</f>
        <v>0</v>
      </c>
      <c r="K1334" s="282">
        <v>0</v>
      </c>
      <c r="L1334" s="34"/>
      <c r="M1334" s="34"/>
      <c r="N1334" s="410"/>
      <c r="O1334" s="196"/>
      <c r="Q1334" s="35"/>
      <c r="S1334" s="268"/>
    </row>
    <row r="1335" spans="1:19" ht="20.100000000000001" hidden="1" customHeight="1" x14ac:dyDescent="0.25">
      <c r="A1335" s="174"/>
      <c r="B1335" s="174"/>
      <c r="C1335" s="174"/>
      <c r="D1335" s="174"/>
      <c r="E1335" s="171" t="s">
        <v>129</v>
      </c>
      <c r="F1335" s="38"/>
      <c r="G1335" s="181">
        <v>31</v>
      </c>
      <c r="H1335" s="38" t="s">
        <v>130</v>
      </c>
      <c r="I1335" s="282">
        <f>I1336</f>
        <v>0</v>
      </c>
      <c r="J1335" s="282">
        <f>J1336</f>
        <v>0</v>
      </c>
      <c r="K1335" s="282">
        <f>K1336</f>
        <v>0</v>
      </c>
      <c r="L1335" s="34"/>
      <c r="M1335" s="34"/>
      <c r="N1335" s="410"/>
      <c r="O1335" s="196"/>
      <c r="Q1335" s="35"/>
      <c r="S1335" s="268"/>
    </row>
    <row r="1336" spans="1:19" ht="20.100000000000001" hidden="1" customHeight="1" x14ac:dyDescent="0.25">
      <c r="A1336" s="174"/>
      <c r="B1336" s="174"/>
      <c r="C1336" s="174"/>
      <c r="D1336" s="174"/>
      <c r="E1336" s="171"/>
      <c r="F1336" s="38" t="s">
        <v>131</v>
      </c>
      <c r="G1336" s="181">
        <v>31</v>
      </c>
      <c r="H1336" s="38" t="s">
        <v>130</v>
      </c>
      <c r="I1336" s="282">
        <v>0</v>
      </c>
      <c r="J1336" s="282">
        <f>K1336-I1336</f>
        <v>0</v>
      </c>
      <c r="K1336" s="282">
        <v>0</v>
      </c>
      <c r="L1336" s="34"/>
      <c r="M1336" s="34"/>
      <c r="N1336" s="410"/>
      <c r="O1336" s="196"/>
      <c r="Q1336" s="35"/>
      <c r="S1336" s="268"/>
    </row>
    <row r="1337" spans="1:19" ht="20.100000000000001" hidden="1" customHeight="1" x14ac:dyDescent="0.25">
      <c r="A1337" s="174"/>
      <c r="B1337" s="174"/>
      <c r="C1337" s="174"/>
      <c r="D1337" s="174">
        <v>3222</v>
      </c>
      <c r="E1337" s="174"/>
      <c r="F1337" s="44"/>
      <c r="G1337" s="181">
        <v>31</v>
      </c>
      <c r="H1337" s="38" t="s">
        <v>29</v>
      </c>
      <c r="I1337" s="282">
        <f>I1338+I1340</f>
        <v>0</v>
      </c>
      <c r="J1337" s="282">
        <f>J1338+J1340</f>
        <v>0</v>
      </c>
      <c r="K1337" s="282">
        <f>K1338+K1340</f>
        <v>0</v>
      </c>
      <c r="L1337" s="34"/>
      <c r="M1337" s="34"/>
      <c r="N1337" s="410"/>
      <c r="O1337" s="196"/>
      <c r="Q1337" s="35"/>
      <c r="S1337" s="268"/>
    </row>
    <row r="1338" spans="1:19" ht="20.100000000000001" hidden="1" customHeight="1" x14ac:dyDescent="0.25">
      <c r="A1338" s="174"/>
      <c r="B1338" s="174"/>
      <c r="C1338" s="174"/>
      <c r="D1338" s="174"/>
      <c r="E1338" s="171" t="s">
        <v>135</v>
      </c>
      <c r="F1338" s="38"/>
      <c r="G1338" s="181">
        <v>31</v>
      </c>
      <c r="H1338" s="38" t="s">
        <v>136</v>
      </c>
      <c r="I1338" s="282">
        <f>I1339</f>
        <v>0</v>
      </c>
      <c r="J1338" s="282">
        <f>J1339</f>
        <v>0</v>
      </c>
      <c r="K1338" s="282">
        <f>K1339</f>
        <v>0</v>
      </c>
      <c r="L1338" s="34"/>
      <c r="M1338" s="34"/>
      <c r="N1338" s="410"/>
      <c r="O1338" s="196"/>
      <c r="Q1338" s="35"/>
      <c r="S1338" s="268"/>
    </row>
    <row r="1339" spans="1:19" ht="20.100000000000001" hidden="1" customHeight="1" x14ac:dyDescent="0.25">
      <c r="A1339" s="174"/>
      <c r="B1339" s="174"/>
      <c r="C1339" s="174"/>
      <c r="D1339" s="174"/>
      <c r="E1339" s="171"/>
      <c r="F1339" s="38" t="s">
        <v>137</v>
      </c>
      <c r="G1339" s="181">
        <v>31</v>
      </c>
      <c r="H1339" s="38" t="s">
        <v>136</v>
      </c>
      <c r="I1339" s="282">
        <v>0</v>
      </c>
      <c r="J1339" s="282">
        <f>K1339-I1339</f>
        <v>0</v>
      </c>
      <c r="K1339" s="282">
        <v>0</v>
      </c>
      <c r="L1339" s="34"/>
      <c r="M1339" s="34"/>
      <c r="N1339" s="410"/>
      <c r="O1339" s="196"/>
      <c r="Q1339" s="35"/>
      <c r="S1339" s="268"/>
    </row>
    <row r="1340" spans="1:19" ht="20.100000000000001" hidden="1" customHeight="1" x14ac:dyDescent="0.25">
      <c r="A1340" s="174"/>
      <c r="B1340" s="174"/>
      <c r="C1340" s="174"/>
      <c r="D1340" s="174"/>
      <c r="E1340" s="171" t="s">
        <v>138</v>
      </c>
      <c r="F1340" s="38"/>
      <c r="G1340" s="181">
        <v>31</v>
      </c>
      <c r="H1340" s="38" t="s">
        <v>139</v>
      </c>
      <c r="I1340" s="282">
        <f>I1341</f>
        <v>0</v>
      </c>
      <c r="J1340" s="282">
        <f>J1341</f>
        <v>0</v>
      </c>
      <c r="K1340" s="282">
        <f>K1341</f>
        <v>0</v>
      </c>
      <c r="L1340" s="34"/>
      <c r="M1340" s="34"/>
      <c r="N1340" s="410"/>
      <c r="O1340" s="196"/>
      <c r="Q1340" s="35"/>
      <c r="S1340" s="268"/>
    </row>
    <row r="1341" spans="1:19" ht="20.100000000000001" hidden="1" customHeight="1" x14ac:dyDescent="0.25">
      <c r="A1341" s="174"/>
      <c r="B1341" s="174"/>
      <c r="C1341" s="174"/>
      <c r="D1341" s="174"/>
      <c r="E1341" s="171"/>
      <c r="F1341" s="38" t="s">
        <v>140</v>
      </c>
      <c r="G1341" s="181">
        <v>31</v>
      </c>
      <c r="H1341" s="38" t="s">
        <v>139</v>
      </c>
      <c r="I1341" s="282">
        <v>0</v>
      </c>
      <c r="J1341" s="282">
        <f>K1341-I1341</f>
        <v>0</v>
      </c>
      <c r="K1341" s="282">
        <v>0</v>
      </c>
      <c r="L1341" s="34"/>
      <c r="M1341" s="34"/>
      <c r="N1341" s="410"/>
      <c r="O1341" s="196"/>
      <c r="Q1341" s="35"/>
      <c r="S1341" s="268"/>
    </row>
    <row r="1342" spans="1:19" ht="20.100000000000001" hidden="1" customHeight="1" x14ac:dyDescent="0.25">
      <c r="A1342" s="174"/>
      <c r="B1342" s="174"/>
      <c r="C1342" s="174"/>
      <c r="D1342" s="175">
        <v>3223</v>
      </c>
      <c r="E1342" s="175"/>
      <c r="F1342" s="56"/>
      <c r="G1342" s="181">
        <v>31</v>
      </c>
      <c r="H1342" s="53" t="s">
        <v>30</v>
      </c>
      <c r="I1342" s="282">
        <f>I1343+I1346+I1348</f>
        <v>0</v>
      </c>
      <c r="J1342" s="282">
        <f>J1343+J1346+J1348</f>
        <v>0</v>
      </c>
      <c r="K1342" s="282">
        <f>K1343+K1346+K1348</f>
        <v>0</v>
      </c>
      <c r="L1342" s="34"/>
      <c r="M1342" s="34"/>
      <c r="N1342" s="410"/>
      <c r="O1342" s="196"/>
      <c r="Q1342" s="35"/>
      <c r="S1342" s="268"/>
    </row>
    <row r="1343" spans="1:19" ht="20.100000000000001" hidden="1" customHeight="1" x14ac:dyDescent="0.25">
      <c r="A1343" s="174"/>
      <c r="B1343" s="174"/>
      <c r="C1343" s="174"/>
      <c r="D1343" s="175"/>
      <c r="E1343" s="171" t="s">
        <v>141</v>
      </c>
      <c r="F1343" s="38"/>
      <c r="G1343" s="181">
        <v>31</v>
      </c>
      <c r="H1343" s="38" t="s">
        <v>142</v>
      </c>
      <c r="I1343" s="282">
        <f>I1344+I1345</f>
        <v>0</v>
      </c>
      <c r="J1343" s="282">
        <f>J1344+J1345</f>
        <v>0</v>
      </c>
      <c r="K1343" s="282">
        <f>K1344+K1345</f>
        <v>0</v>
      </c>
      <c r="L1343" s="34"/>
      <c r="M1343" s="34"/>
      <c r="N1343" s="410"/>
      <c r="O1343" s="196"/>
      <c r="Q1343" s="35"/>
      <c r="S1343" s="268"/>
    </row>
    <row r="1344" spans="1:19" ht="20.100000000000001" hidden="1" customHeight="1" x14ac:dyDescent="0.25">
      <c r="A1344" s="174"/>
      <c r="B1344" s="174"/>
      <c r="C1344" s="174"/>
      <c r="D1344" s="175"/>
      <c r="E1344" s="171"/>
      <c r="F1344" s="38" t="s">
        <v>143</v>
      </c>
      <c r="G1344" s="181">
        <v>31</v>
      </c>
      <c r="H1344" s="38" t="s">
        <v>142</v>
      </c>
      <c r="I1344" s="282">
        <v>0</v>
      </c>
      <c r="J1344" s="282">
        <f>K1344-I1344</f>
        <v>0</v>
      </c>
      <c r="K1344" s="282">
        <v>0</v>
      </c>
      <c r="L1344" s="34"/>
      <c r="M1344" s="34"/>
      <c r="N1344" s="410"/>
      <c r="O1344" s="196"/>
      <c r="Q1344" s="35"/>
      <c r="S1344" s="268"/>
    </row>
    <row r="1345" spans="1:19" ht="20.100000000000001" hidden="1" customHeight="1" x14ac:dyDescent="0.25">
      <c r="A1345" s="174"/>
      <c r="B1345" s="174"/>
      <c r="C1345" s="174"/>
      <c r="D1345" s="175"/>
      <c r="E1345" s="171"/>
      <c r="F1345" s="38" t="s">
        <v>144</v>
      </c>
      <c r="G1345" s="181">
        <v>31</v>
      </c>
      <c r="H1345" s="38" t="s">
        <v>145</v>
      </c>
      <c r="I1345" s="282">
        <v>0</v>
      </c>
      <c r="J1345" s="282">
        <f>K1345-I1345</f>
        <v>0</v>
      </c>
      <c r="K1345" s="282">
        <v>0</v>
      </c>
      <c r="L1345" s="34"/>
      <c r="M1345" s="34"/>
      <c r="N1345" s="410"/>
      <c r="O1345" s="196"/>
      <c r="Q1345" s="35"/>
      <c r="S1345" s="268"/>
    </row>
    <row r="1346" spans="1:19" ht="20.100000000000001" hidden="1" customHeight="1" x14ac:dyDescent="0.25">
      <c r="A1346" s="174"/>
      <c r="B1346" s="174"/>
      <c r="C1346" s="174"/>
      <c r="D1346" s="175"/>
      <c r="E1346" s="171" t="s">
        <v>146</v>
      </c>
      <c r="F1346" s="38"/>
      <c r="G1346" s="181">
        <v>31</v>
      </c>
      <c r="H1346" s="38" t="s">
        <v>147</v>
      </c>
      <c r="I1346" s="282">
        <f>I1347</f>
        <v>0</v>
      </c>
      <c r="J1346" s="282">
        <f>J1347</f>
        <v>0</v>
      </c>
      <c r="K1346" s="282">
        <f>K1347</f>
        <v>0</v>
      </c>
      <c r="L1346" s="34"/>
      <c r="M1346" s="34"/>
      <c r="N1346" s="410"/>
      <c r="O1346" s="196"/>
      <c r="Q1346" s="35"/>
      <c r="S1346" s="268"/>
    </row>
    <row r="1347" spans="1:19" ht="20.100000000000001" hidden="1" customHeight="1" x14ac:dyDescent="0.25">
      <c r="A1347" s="174"/>
      <c r="B1347" s="174"/>
      <c r="C1347" s="174"/>
      <c r="D1347" s="175"/>
      <c r="E1347" s="171"/>
      <c r="F1347" s="38" t="s">
        <v>148</v>
      </c>
      <c r="G1347" s="181">
        <v>31</v>
      </c>
      <c r="H1347" s="38" t="s">
        <v>147</v>
      </c>
      <c r="I1347" s="282">
        <v>0</v>
      </c>
      <c r="J1347" s="282">
        <f>K1347-I1347</f>
        <v>0</v>
      </c>
      <c r="K1347" s="282">
        <v>0</v>
      </c>
      <c r="L1347" s="34"/>
      <c r="M1347" s="34"/>
      <c r="N1347" s="410"/>
      <c r="O1347" s="196"/>
      <c r="Q1347" s="35"/>
      <c r="S1347" s="268"/>
    </row>
    <row r="1348" spans="1:19" ht="20.100000000000001" hidden="1" customHeight="1" x14ac:dyDescent="0.25">
      <c r="A1348" s="174"/>
      <c r="B1348" s="174"/>
      <c r="C1348" s="174"/>
      <c r="D1348" s="175"/>
      <c r="E1348" s="171" t="s">
        <v>149</v>
      </c>
      <c r="F1348" s="38"/>
      <c r="G1348" s="181">
        <v>31</v>
      </c>
      <c r="H1348" s="38" t="s">
        <v>150</v>
      </c>
      <c r="I1348" s="282">
        <f>I1349</f>
        <v>0</v>
      </c>
      <c r="J1348" s="282">
        <f>J1349</f>
        <v>0</v>
      </c>
      <c r="K1348" s="282">
        <f>K1349</f>
        <v>0</v>
      </c>
      <c r="L1348" s="34"/>
      <c r="M1348" s="34"/>
      <c r="N1348" s="410"/>
      <c r="O1348" s="196"/>
      <c r="Q1348" s="35"/>
      <c r="S1348" s="268"/>
    </row>
    <row r="1349" spans="1:19" ht="20.100000000000001" hidden="1" customHeight="1" x14ac:dyDescent="0.25">
      <c r="A1349" s="174"/>
      <c r="B1349" s="174"/>
      <c r="C1349" s="174"/>
      <c r="D1349" s="175"/>
      <c r="E1349" s="171"/>
      <c r="F1349" s="38" t="s">
        <v>151</v>
      </c>
      <c r="G1349" s="181">
        <v>31</v>
      </c>
      <c r="H1349" s="38" t="s">
        <v>150</v>
      </c>
      <c r="I1349" s="282">
        <v>0</v>
      </c>
      <c r="J1349" s="282">
        <f>K1349-I1349</f>
        <v>0</v>
      </c>
      <c r="K1349" s="282">
        <v>0</v>
      </c>
      <c r="L1349" s="34"/>
      <c r="M1349" s="34"/>
      <c r="N1349" s="410"/>
      <c r="O1349" s="196"/>
      <c r="Q1349" s="35"/>
      <c r="S1349" s="268"/>
    </row>
    <row r="1350" spans="1:19" ht="20.100000000000001" hidden="1" customHeight="1" x14ac:dyDescent="0.25">
      <c r="A1350" s="172"/>
      <c r="B1350" s="172"/>
      <c r="C1350" s="172">
        <v>323</v>
      </c>
      <c r="D1350" s="172"/>
      <c r="E1350" s="172"/>
      <c r="F1350" s="42"/>
      <c r="G1350" s="181">
        <v>31</v>
      </c>
      <c r="H1350" s="43" t="s">
        <v>34</v>
      </c>
      <c r="I1350" s="281">
        <f>I1351+I1360+I1366+I1371</f>
        <v>0</v>
      </c>
      <c r="J1350" s="281">
        <f>J1351+J1360+J1366+J1371</f>
        <v>0</v>
      </c>
      <c r="K1350" s="281">
        <f>K1351+K1360+K1366+K1371</f>
        <v>0</v>
      </c>
      <c r="L1350" s="34"/>
      <c r="M1350" s="34"/>
      <c r="N1350" s="410"/>
      <c r="O1350" s="196"/>
      <c r="Q1350" s="35"/>
      <c r="S1350" s="268"/>
    </row>
    <row r="1351" spans="1:19" ht="20.100000000000001" hidden="1" customHeight="1" x14ac:dyDescent="0.25">
      <c r="A1351" s="174"/>
      <c r="B1351" s="174"/>
      <c r="C1351" s="174"/>
      <c r="D1351" s="174">
        <v>3231</v>
      </c>
      <c r="E1351" s="174"/>
      <c r="F1351" s="44"/>
      <c r="G1351" s="181">
        <v>31</v>
      </c>
      <c r="H1351" s="53" t="s">
        <v>166</v>
      </c>
      <c r="I1351" s="282">
        <f t="shared" ref="I1351:K1352" si="222">I1352</f>
        <v>0</v>
      </c>
      <c r="J1351" s="282">
        <f t="shared" si="222"/>
        <v>0</v>
      </c>
      <c r="K1351" s="282">
        <f t="shared" si="222"/>
        <v>0</v>
      </c>
      <c r="L1351" s="34"/>
      <c r="M1351" s="34"/>
      <c r="N1351" s="410"/>
      <c r="O1351" s="196"/>
      <c r="Q1351" s="35"/>
      <c r="S1351" s="268"/>
    </row>
    <row r="1352" spans="1:19" ht="20.100000000000001" hidden="1" customHeight="1" x14ac:dyDescent="0.25">
      <c r="A1352" s="174"/>
      <c r="B1352" s="174"/>
      <c r="C1352" s="174"/>
      <c r="D1352" s="174"/>
      <c r="E1352" s="171" t="s">
        <v>167</v>
      </c>
      <c r="F1352" s="38"/>
      <c r="G1352" s="181">
        <v>31</v>
      </c>
      <c r="H1352" s="38" t="s">
        <v>168</v>
      </c>
      <c r="I1352" s="282">
        <f t="shared" si="222"/>
        <v>0</v>
      </c>
      <c r="J1352" s="282">
        <f t="shared" si="222"/>
        <v>0</v>
      </c>
      <c r="K1352" s="282">
        <f t="shared" si="222"/>
        <v>0</v>
      </c>
      <c r="L1352" s="34"/>
      <c r="M1352" s="34"/>
      <c r="N1352" s="410"/>
      <c r="O1352" s="196"/>
      <c r="Q1352" s="35"/>
      <c r="S1352" s="268"/>
    </row>
    <row r="1353" spans="1:19" ht="20.100000000000001" hidden="1" customHeight="1" x14ac:dyDescent="0.25">
      <c r="A1353" s="174"/>
      <c r="B1353" s="174"/>
      <c r="C1353" s="174"/>
      <c r="D1353" s="174"/>
      <c r="E1353" s="171"/>
      <c r="F1353" s="38" t="s">
        <v>169</v>
      </c>
      <c r="G1353" s="181">
        <v>31</v>
      </c>
      <c r="H1353" s="38" t="s">
        <v>168</v>
      </c>
      <c r="I1353" s="282">
        <v>0</v>
      </c>
      <c r="J1353" s="282">
        <f>K1353-I1353</f>
        <v>0</v>
      </c>
      <c r="K1353" s="282">
        <v>0</v>
      </c>
      <c r="L1353" s="34"/>
      <c r="M1353" s="34"/>
      <c r="N1353" s="410"/>
      <c r="O1353" s="196"/>
      <c r="Q1353" s="35"/>
      <c r="S1353" s="268"/>
    </row>
    <row r="1354" spans="1:19" ht="20.100000000000001" hidden="1" customHeight="1" x14ac:dyDescent="0.25">
      <c r="A1354" s="174"/>
      <c r="B1354" s="174"/>
      <c r="C1354" s="174"/>
      <c r="D1354" s="174"/>
      <c r="E1354" s="171" t="s">
        <v>170</v>
      </c>
      <c r="F1354" s="38"/>
      <c r="G1354" s="181">
        <v>31</v>
      </c>
      <c r="H1354" s="38" t="s">
        <v>171</v>
      </c>
      <c r="I1354" s="282"/>
      <c r="J1354" s="282"/>
      <c r="K1354" s="282"/>
      <c r="L1354" s="34"/>
      <c r="M1354" s="34"/>
      <c r="N1354" s="410"/>
      <c r="O1354" s="196"/>
      <c r="Q1354" s="35"/>
      <c r="S1354" s="268"/>
    </row>
    <row r="1355" spans="1:19" ht="20.100000000000001" hidden="1" customHeight="1" x14ac:dyDescent="0.25">
      <c r="A1355" s="174"/>
      <c r="B1355" s="174"/>
      <c r="C1355" s="174"/>
      <c r="D1355" s="174"/>
      <c r="E1355" s="171"/>
      <c r="F1355" s="38" t="s">
        <v>172</v>
      </c>
      <c r="G1355" s="181">
        <v>31</v>
      </c>
      <c r="H1355" s="38" t="s">
        <v>171</v>
      </c>
      <c r="I1355" s="282"/>
      <c r="J1355" s="282"/>
      <c r="K1355" s="282"/>
      <c r="L1355" s="34"/>
      <c r="M1355" s="34"/>
      <c r="N1355" s="410"/>
      <c r="O1355" s="196"/>
      <c r="Q1355" s="35"/>
      <c r="S1355" s="268"/>
    </row>
    <row r="1356" spans="1:19" ht="20.100000000000001" hidden="1" customHeight="1" x14ac:dyDescent="0.25">
      <c r="A1356" s="174"/>
      <c r="B1356" s="174"/>
      <c r="C1356" s="174"/>
      <c r="D1356" s="174"/>
      <c r="E1356" s="171" t="s">
        <v>173</v>
      </c>
      <c r="F1356" s="38"/>
      <c r="G1356" s="181">
        <v>31</v>
      </c>
      <c r="H1356" s="38" t="s">
        <v>174</v>
      </c>
      <c r="I1356" s="282"/>
      <c r="J1356" s="282"/>
      <c r="K1356" s="282"/>
      <c r="L1356" s="34"/>
      <c r="M1356" s="34"/>
      <c r="N1356" s="410"/>
      <c r="O1356" s="196"/>
      <c r="Q1356" s="35"/>
      <c r="S1356" s="268"/>
    </row>
    <row r="1357" spans="1:19" ht="20.100000000000001" hidden="1" customHeight="1" x14ac:dyDescent="0.25">
      <c r="A1357" s="174"/>
      <c r="B1357" s="174"/>
      <c r="C1357" s="174"/>
      <c r="D1357" s="174"/>
      <c r="E1357" s="171"/>
      <c r="F1357" s="38" t="s">
        <v>175</v>
      </c>
      <c r="G1357" s="181">
        <v>31</v>
      </c>
      <c r="H1357" s="38" t="s">
        <v>174</v>
      </c>
      <c r="I1357" s="282"/>
      <c r="J1357" s="282"/>
      <c r="K1357" s="282"/>
      <c r="L1357" s="34"/>
      <c r="M1357" s="34"/>
      <c r="N1357" s="410"/>
      <c r="O1357" s="196"/>
      <c r="Q1357" s="35"/>
      <c r="S1357" s="268"/>
    </row>
    <row r="1358" spans="1:19" ht="20.100000000000001" hidden="1" customHeight="1" x14ac:dyDescent="0.25">
      <c r="A1358" s="174"/>
      <c r="B1358" s="174"/>
      <c r="C1358" s="174"/>
      <c r="D1358" s="174"/>
      <c r="E1358" s="171" t="s">
        <v>176</v>
      </c>
      <c r="F1358" s="38"/>
      <c r="G1358" s="181">
        <v>31</v>
      </c>
      <c r="H1358" s="38" t="s">
        <v>177</v>
      </c>
      <c r="I1358" s="282"/>
      <c r="J1358" s="282"/>
      <c r="K1358" s="282"/>
      <c r="L1358" s="34"/>
      <c r="M1358" s="34"/>
      <c r="N1358" s="410"/>
      <c r="O1358" s="196"/>
      <c r="Q1358" s="35"/>
      <c r="S1358" s="268"/>
    </row>
    <row r="1359" spans="1:19" ht="20.100000000000001" hidden="1" customHeight="1" x14ac:dyDescent="0.25">
      <c r="A1359" s="174"/>
      <c r="B1359" s="174"/>
      <c r="C1359" s="174"/>
      <c r="D1359" s="174"/>
      <c r="E1359" s="171"/>
      <c r="F1359" s="38" t="s">
        <v>178</v>
      </c>
      <c r="G1359" s="181">
        <v>31</v>
      </c>
      <c r="H1359" s="38" t="s">
        <v>177</v>
      </c>
      <c r="I1359" s="282"/>
      <c r="J1359" s="282"/>
      <c r="K1359" s="282"/>
      <c r="L1359" s="34"/>
      <c r="M1359" s="34"/>
      <c r="N1359" s="410"/>
      <c r="O1359" s="196"/>
      <c r="Q1359" s="35"/>
      <c r="S1359" s="268"/>
    </row>
    <row r="1360" spans="1:19" ht="20.100000000000001" hidden="1" customHeight="1" x14ac:dyDescent="0.25">
      <c r="A1360" s="174"/>
      <c r="B1360" s="174"/>
      <c r="C1360" s="174"/>
      <c r="D1360" s="174">
        <v>3232</v>
      </c>
      <c r="E1360" s="174"/>
      <c r="F1360" s="44"/>
      <c r="G1360" s="181">
        <v>31</v>
      </c>
      <c r="H1360" s="38" t="s">
        <v>36</v>
      </c>
      <c r="I1360" s="282">
        <f t="shared" ref="I1360:K1361" si="223">I1361</f>
        <v>0</v>
      </c>
      <c r="J1360" s="282">
        <f t="shared" si="223"/>
        <v>0</v>
      </c>
      <c r="K1360" s="282">
        <f t="shared" si="223"/>
        <v>0</v>
      </c>
      <c r="L1360" s="34"/>
      <c r="M1360" s="34"/>
      <c r="N1360" s="410"/>
      <c r="O1360" s="196"/>
      <c r="Q1360" s="35"/>
      <c r="S1360" s="268"/>
    </row>
    <row r="1361" spans="1:19" ht="30" hidden="1" customHeight="1" x14ac:dyDescent="0.25">
      <c r="A1361" s="174"/>
      <c r="B1361" s="174"/>
      <c r="C1361" s="174"/>
      <c r="D1361" s="174"/>
      <c r="E1361" s="171" t="s">
        <v>179</v>
      </c>
      <c r="F1361" s="38"/>
      <c r="G1361" s="181">
        <v>31</v>
      </c>
      <c r="H1361" s="38" t="s">
        <v>180</v>
      </c>
      <c r="I1361" s="282">
        <f t="shared" si="223"/>
        <v>0</v>
      </c>
      <c r="J1361" s="282">
        <f t="shared" si="223"/>
        <v>0</v>
      </c>
      <c r="K1361" s="282">
        <f t="shared" si="223"/>
        <v>0</v>
      </c>
      <c r="L1361" s="34"/>
      <c r="M1361" s="34"/>
      <c r="N1361" s="410"/>
      <c r="O1361" s="196"/>
      <c r="Q1361" s="35"/>
      <c r="S1361" s="268"/>
    </row>
    <row r="1362" spans="1:19" ht="30" hidden="1" customHeight="1" x14ac:dyDescent="0.25">
      <c r="A1362" s="174"/>
      <c r="B1362" s="174"/>
      <c r="C1362" s="174"/>
      <c r="D1362" s="174"/>
      <c r="E1362" s="171"/>
      <c r="F1362" s="38" t="s">
        <v>181</v>
      </c>
      <c r="G1362" s="181">
        <v>31</v>
      </c>
      <c r="H1362" s="38" t="s">
        <v>180</v>
      </c>
      <c r="I1362" s="282">
        <v>0</v>
      </c>
      <c r="J1362" s="282">
        <f>K1362-I1362</f>
        <v>0</v>
      </c>
      <c r="K1362" s="282">
        <v>0</v>
      </c>
      <c r="L1362" s="34"/>
      <c r="M1362" s="34"/>
      <c r="N1362" s="410"/>
      <c r="O1362" s="196"/>
      <c r="Q1362" s="35"/>
      <c r="S1362" s="268"/>
    </row>
    <row r="1363" spans="1:19" ht="20.100000000000001" hidden="1" customHeight="1" x14ac:dyDescent="0.25">
      <c r="A1363" s="174"/>
      <c r="B1363" s="174"/>
      <c r="C1363" s="174"/>
      <c r="D1363" s="174">
        <v>3233</v>
      </c>
      <c r="E1363" s="174"/>
      <c r="F1363" s="44"/>
      <c r="G1363" s="181">
        <v>31</v>
      </c>
      <c r="H1363" s="38" t="s">
        <v>37</v>
      </c>
      <c r="I1363" s="282"/>
      <c r="J1363" s="282"/>
      <c r="K1363" s="282"/>
      <c r="L1363" s="34"/>
      <c r="M1363" s="34"/>
      <c r="N1363" s="410"/>
      <c r="O1363" s="196"/>
      <c r="Q1363" s="35"/>
      <c r="S1363" s="268"/>
    </row>
    <row r="1364" spans="1:19" ht="20.100000000000001" hidden="1" customHeight="1" x14ac:dyDescent="0.25">
      <c r="A1364" s="174"/>
      <c r="B1364" s="174"/>
      <c r="C1364" s="174"/>
      <c r="D1364" s="174"/>
      <c r="E1364" s="171" t="s">
        <v>182</v>
      </c>
      <c r="F1364" s="38"/>
      <c r="G1364" s="181">
        <v>31</v>
      </c>
      <c r="H1364" s="38" t="s">
        <v>183</v>
      </c>
      <c r="I1364" s="282"/>
      <c r="J1364" s="282"/>
      <c r="K1364" s="282"/>
      <c r="L1364" s="34"/>
      <c r="M1364" s="34"/>
      <c r="N1364" s="410"/>
      <c r="O1364" s="196"/>
      <c r="Q1364" s="35"/>
      <c r="S1364" s="268"/>
    </row>
    <row r="1365" spans="1:19" ht="20.100000000000001" hidden="1" customHeight="1" x14ac:dyDescent="0.25">
      <c r="A1365" s="174"/>
      <c r="B1365" s="174"/>
      <c r="C1365" s="174"/>
      <c r="D1365" s="174"/>
      <c r="E1365" s="171"/>
      <c r="F1365" s="38" t="s">
        <v>184</v>
      </c>
      <c r="G1365" s="181">
        <v>31</v>
      </c>
      <c r="H1365" s="38" t="s">
        <v>183</v>
      </c>
      <c r="I1365" s="282"/>
      <c r="J1365" s="282"/>
      <c r="K1365" s="282"/>
      <c r="L1365" s="34"/>
      <c r="M1365" s="34"/>
      <c r="N1365" s="410"/>
      <c r="O1365" s="196"/>
      <c r="Q1365" s="35"/>
      <c r="S1365" s="268"/>
    </row>
    <row r="1366" spans="1:19" ht="20.100000000000001" hidden="1" customHeight="1" x14ac:dyDescent="0.25">
      <c r="A1366" s="174"/>
      <c r="B1366" s="174"/>
      <c r="C1366" s="174"/>
      <c r="D1366" s="174">
        <v>3236</v>
      </c>
      <c r="E1366" s="174"/>
      <c r="F1366" s="44"/>
      <c r="G1366" s="181">
        <v>31</v>
      </c>
      <c r="H1366" s="38" t="s">
        <v>40</v>
      </c>
      <c r="I1366" s="282">
        <f t="shared" ref="I1366:K1367" si="224">I1367</f>
        <v>0</v>
      </c>
      <c r="J1366" s="282">
        <f t="shared" si="224"/>
        <v>0</v>
      </c>
      <c r="K1366" s="282">
        <f t="shared" si="224"/>
        <v>0</v>
      </c>
      <c r="L1366" s="34"/>
      <c r="M1366" s="34"/>
      <c r="N1366" s="410"/>
      <c r="O1366" s="196"/>
      <c r="Q1366" s="35"/>
      <c r="S1366" s="268"/>
    </row>
    <row r="1367" spans="1:19" ht="20.100000000000001" hidden="1" customHeight="1" x14ac:dyDescent="0.25">
      <c r="A1367" s="174"/>
      <c r="B1367" s="174"/>
      <c r="C1367" s="174"/>
      <c r="D1367" s="174"/>
      <c r="E1367" s="171" t="s">
        <v>202</v>
      </c>
      <c r="F1367" s="38"/>
      <c r="G1367" s="181">
        <v>31</v>
      </c>
      <c r="H1367" s="38" t="s">
        <v>203</v>
      </c>
      <c r="I1367" s="282">
        <f t="shared" si="224"/>
        <v>0</v>
      </c>
      <c r="J1367" s="282">
        <f t="shared" si="224"/>
        <v>0</v>
      </c>
      <c r="K1367" s="282">
        <f t="shared" si="224"/>
        <v>0</v>
      </c>
      <c r="L1367" s="34"/>
      <c r="M1367" s="34"/>
      <c r="N1367" s="410"/>
      <c r="O1367" s="196"/>
      <c r="Q1367" s="35"/>
      <c r="S1367" s="268"/>
    </row>
    <row r="1368" spans="1:19" ht="20.100000000000001" hidden="1" customHeight="1" x14ac:dyDescent="0.25">
      <c r="A1368" s="174"/>
      <c r="B1368" s="174"/>
      <c r="C1368" s="174"/>
      <c r="D1368" s="174"/>
      <c r="E1368" s="171"/>
      <c r="F1368" s="38" t="s">
        <v>204</v>
      </c>
      <c r="G1368" s="181">
        <v>31</v>
      </c>
      <c r="H1368" s="38" t="s">
        <v>203</v>
      </c>
      <c r="I1368" s="282">
        <v>0</v>
      </c>
      <c r="J1368" s="282">
        <f>K1368-I1368</f>
        <v>0</v>
      </c>
      <c r="K1368" s="282">
        <v>0</v>
      </c>
      <c r="L1368" s="34"/>
      <c r="M1368" s="34"/>
      <c r="N1368" s="410"/>
      <c r="O1368" s="196"/>
      <c r="Q1368" s="35"/>
      <c r="S1368" s="268"/>
    </row>
    <row r="1369" spans="1:19" ht="20.100000000000001" hidden="1" customHeight="1" x14ac:dyDescent="0.25">
      <c r="A1369" s="174"/>
      <c r="B1369" s="174"/>
      <c r="C1369" s="174"/>
      <c r="D1369" s="174"/>
      <c r="E1369" s="171" t="s">
        <v>205</v>
      </c>
      <c r="F1369" s="38"/>
      <c r="G1369" s="181">
        <v>31</v>
      </c>
      <c r="H1369" s="38" t="s">
        <v>206</v>
      </c>
      <c r="I1369" s="282"/>
      <c r="J1369" s="282"/>
      <c r="K1369" s="282"/>
      <c r="L1369" s="34"/>
      <c r="M1369" s="34"/>
      <c r="N1369" s="410"/>
      <c r="O1369" s="196"/>
      <c r="Q1369" s="35"/>
      <c r="S1369" s="268"/>
    </row>
    <row r="1370" spans="1:19" ht="20.100000000000001" hidden="1" customHeight="1" x14ac:dyDescent="0.25">
      <c r="A1370" s="174"/>
      <c r="B1370" s="174"/>
      <c r="C1370" s="174"/>
      <c r="D1370" s="174"/>
      <c r="E1370" s="171"/>
      <c r="F1370" s="38" t="s">
        <v>207</v>
      </c>
      <c r="G1370" s="181">
        <v>31</v>
      </c>
      <c r="H1370" s="38" t="s">
        <v>206</v>
      </c>
      <c r="I1370" s="282"/>
      <c r="J1370" s="282"/>
      <c r="K1370" s="282"/>
      <c r="L1370" s="34"/>
      <c r="M1370" s="34"/>
      <c r="N1370" s="410"/>
      <c r="O1370" s="196"/>
      <c r="Q1370" s="35"/>
      <c r="S1370" s="268"/>
    </row>
    <row r="1371" spans="1:19" ht="20.100000000000001" hidden="1" customHeight="1" x14ac:dyDescent="0.25">
      <c r="A1371" s="174"/>
      <c r="B1371" s="174"/>
      <c r="C1371" s="174"/>
      <c r="D1371" s="174">
        <v>3238</v>
      </c>
      <c r="E1371" s="174"/>
      <c r="F1371" s="44"/>
      <c r="G1371" s="181">
        <v>31</v>
      </c>
      <c r="H1371" s="38" t="s">
        <v>41</v>
      </c>
      <c r="I1371" s="282">
        <f t="shared" ref="I1371:K1372" si="225">I1372</f>
        <v>0</v>
      </c>
      <c r="J1371" s="282">
        <f t="shared" si="225"/>
        <v>0</v>
      </c>
      <c r="K1371" s="282">
        <f t="shared" si="225"/>
        <v>0</v>
      </c>
      <c r="L1371" s="34"/>
      <c r="M1371" s="34"/>
      <c r="N1371" s="410"/>
      <c r="O1371" s="196"/>
      <c r="Q1371" s="35"/>
      <c r="S1371" s="268"/>
    </row>
    <row r="1372" spans="1:19" ht="20.100000000000001" hidden="1" customHeight="1" x14ac:dyDescent="0.25">
      <c r="A1372" s="174"/>
      <c r="B1372" s="174"/>
      <c r="C1372" s="174"/>
      <c r="D1372" s="174"/>
      <c r="E1372" s="171" t="s">
        <v>219</v>
      </c>
      <c r="F1372" s="38"/>
      <c r="G1372" s="181">
        <v>31</v>
      </c>
      <c r="H1372" s="38" t="s">
        <v>220</v>
      </c>
      <c r="I1372" s="282">
        <f t="shared" si="225"/>
        <v>0</v>
      </c>
      <c r="J1372" s="282">
        <f t="shared" si="225"/>
        <v>0</v>
      </c>
      <c r="K1372" s="282">
        <f t="shared" si="225"/>
        <v>0</v>
      </c>
      <c r="L1372" s="34"/>
      <c r="M1372" s="34"/>
      <c r="N1372" s="410"/>
      <c r="O1372" s="196"/>
      <c r="Q1372" s="35"/>
      <c r="S1372" s="268"/>
    </row>
    <row r="1373" spans="1:19" ht="20.100000000000001" hidden="1" customHeight="1" x14ac:dyDescent="0.25">
      <c r="A1373" s="174"/>
      <c r="B1373" s="174"/>
      <c r="C1373" s="174"/>
      <c r="D1373" s="174"/>
      <c r="E1373" s="171"/>
      <c r="F1373" s="38" t="s">
        <v>221</v>
      </c>
      <c r="G1373" s="181">
        <v>31</v>
      </c>
      <c r="H1373" s="38" t="s">
        <v>220</v>
      </c>
      <c r="I1373" s="282">
        <v>0</v>
      </c>
      <c r="J1373" s="282">
        <f>K1373-I1373</f>
        <v>0</v>
      </c>
      <c r="K1373" s="282">
        <v>0</v>
      </c>
      <c r="L1373" s="34"/>
      <c r="M1373" s="34"/>
      <c r="N1373" s="410"/>
      <c r="O1373" s="196"/>
      <c r="Q1373" s="35"/>
      <c r="S1373" s="268"/>
    </row>
    <row r="1374" spans="1:19" ht="30.75" customHeight="1" x14ac:dyDescent="0.25">
      <c r="A1374" s="239"/>
      <c r="B1374" s="239"/>
      <c r="C1374" s="239"/>
      <c r="D1374" s="239"/>
      <c r="E1374" s="239"/>
      <c r="F1374" s="240"/>
      <c r="G1374" s="241"/>
      <c r="H1374" s="242" t="s">
        <v>532</v>
      </c>
      <c r="I1374" s="285"/>
      <c r="J1374" s="285"/>
      <c r="K1374" s="285"/>
      <c r="L1374" s="58"/>
      <c r="M1374" s="58"/>
      <c r="N1374" s="410"/>
      <c r="O1374" s="196"/>
      <c r="Q1374" s="35"/>
      <c r="S1374" s="268"/>
    </row>
    <row r="1375" spans="1:19" ht="20.100000000000001" customHeight="1" x14ac:dyDescent="0.25">
      <c r="A1375" s="348"/>
      <c r="B1375" s="348"/>
      <c r="C1375" s="348"/>
      <c r="D1375" s="348"/>
      <c r="E1375" s="344"/>
      <c r="F1375" s="349"/>
      <c r="G1375" s="350"/>
      <c r="H1375" s="354" t="s">
        <v>289</v>
      </c>
      <c r="I1375" s="316"/>
      <c r="J1375" s="316"/>
      <c r="K1375" s="389"/>
      <c r="L1375" s="34"/>
      <c r="M1375" s="34"/>
      <c r="N1375" s="410"/>
      <c r="O1375" s="196"/>
      <c r="Q1375" s="35"/>
      <c r="S1375" s="268"/>
    </row>
    <row r="1376" spans="1:19" ht="20.100000000000001" customHeight="1" x14ac:dyDescent="0.25">
      <c r="A1376" s="172">
        <v>3</v>
      </c>
      <c r="B1376" s="172"/>
      <c r="C1376" s="172"/>
      <c r="D1376" s="172"/>
      <c r="E1376" s="172"/>
      <c r="F1376" s="42"/>
      <c r="G1376" s="211"/>
      <c r="H1376" s="43" t="s">
        <v>81</v>
      </c>
      <c r="I1376" s="281">
        <f>I1377+I1409</f>
        <v>5500</v>
      </c>
      <c r="J1376" s="281">
        <f>J1377+J1409</f>
        <v>0</v>
      </c>
      <c r="K1376" s="281">
        <f>K1377+K1409</f>
        <v>5500</v>
      </c>
      <c r="L1376" s="45">
        <f>L1377+L1409</f>
        <v>58000</v>
      </c>
      <c r="M1376" s="45">
        <f>M1377+M1409</f>
        <v>58000</v>
      </c>
      <c r="N1376" s="410"/>
      <c r="O1376" s="196"/>
      <c r="Q1376" s="35"/>
      <c r="S1376" s="268"/>
    </row>
    <row r="1377" spans="1:19" ht="20.100000000000001" customHeight="1" x14ac:dyDescent="0.25">
      <c r="A1377" s="172"/>
      <c r="B1377" s="172">
        <v>31</v>
      </c>
      <c r="C1377" s="172"/>
      <c r="D1377" s="172"/>
      <c r="E1377" s="172"/>
      <c r="F1377" s="42"/>
      <c r="G1377" s="181" t="s">
        <v>466</v>
      </c>
      <c r="H1377" s="43" t="s">
        <v>13</v>
      </c>
      <c r="I1377" s="281">
        <f>I1378+I1400</f>
        <v>3370</v>
      </c>
      <c r="J1377" s="281">
        <f>J1378+J1400</f>
        <v>250</v>
      </c>
      <c r="K1377" s="281">
        <f>K1378+K1400</f>
        <v>3620</v>
      </c>
      <c r="L1377" s="45">
        <f t="shared" ref="L1377:M1377" si="226">L1378+L1400</f>
        <v>42050</v>
      </c>
      <c r="M1377" s="45">
        <f t="shared" si="226"/>
        <v>42050</v>
      </c>
      <c r="N1377" s="410"/>
      <c r="O1377" s="196"/>
      <c r="Q1377" s="35"/>
      <c r="S1377" s="268"/>
    </row>
    <row r="1378" spans="1:19" s="154" customFormat="1" ht="20.100000000000001" hidden="1" customHeight="1" x14ac:dyDescent="0.25">
      <c r="A1378" s="176"/>
      <c r="B1378" s="176"/>
      <c r="C1378" s="172">
        <v>311</v>
      </c>
      <c r="D1378" s="172"/>
      <c r="E1378" s="172"/>
      <c r="F1378" s="42"/>
      <c r="G1378" s="181" t="s">
        <v>466</v>
      </c>
      <c r="H1378" s="43" t="s">
        <v>14</v>
      </c>
      <c r="I1378" s="281">
        <f>I1379+I1382+I1385</f>
        <v>2790</v>
      </c>
      <c r="J1378" s="281">
        <f>J1379+J1382+J1385</f>
        <v>318</v>
      </c>
      <c r="K1378" s="281">
        <f>K1379+K1382+K1385</f>
        <v>3108</v>
      </c>
      <c r="L1378" s="157">
        <f t="shared" ref="L1378:M1378" si="227">L1379+L1382+L1385</f>
        <v>37200</v>
      </c>
      <c r="M1378" s="157">
        <f t="shared" si="227"/>
        <v>37200</v>
      </c>
      <c r="N1378" s="410"/>
      <c r="O1378" s="196"/>
      <c r="P1378" s="411"/>
      <c r="Q1378" s="152"/>
      <c r="R1378" s="153"/>
      <c r="S1378" s="153"/>
    </row>
    <row r="1379" spans="1:19" ht="20.100000000000001" hidden="1" customHeight="1" x14ac:dyDescent="0.25">
      <c r="A1379" s="174"/>
      <c r="B1379" s="174"/>
      <c r="C1379" s="174"/>
      <c r="D1379" s="174">
        <v>3111</v>
      </c>
      <c r="E1379" s="174"/>
      <c r="F1379" s="44"/>
      <c r="G1379" s="181" t="s">
        <v>466</v>
      </c>
      <c r="H1379" s="38" t="s">
        <v>15</v>
      </c>
      <c r="I1379" s="282">
        <f t="shared" ref="I1379:M1380" si="228">I1380</f>
        <v>2400</v>
      </c>
      <c r="J1379" s="282">
        <f t="shared" si="228"/>
        <v>495</v>
      </c>
      <c r="K1379" s="282">
        <f t="shared" si="228"/>
        <v>2895</v>
      </c>
      <c r="L1379" s="39">
        <f t="shared" si="228"/>
        <v>29000</v>
      </c>
      <c r="M1379" s="39">
        <f t="shared" si="228"/>
        <v>29000</v>
      </c>
      <c r="N1379" s="410"/>
      <c r="O1379" s="196"/>
      <c r="Q1379" s="35"/>
      <c r="S1379" s="268"/>
    </row>
    <row r="1380" spans="1:19" ht="20.100000000000001" hidden="1" customHeight="1" x14ac:dyDescent="0.25">
      <c r="A1380" s="174"/>
      <c r="B1380" s="174"/>
      <c r="C1380" s="174"/>
      <c r="D1380" s="174"/>
      <c r="E1380" s="171" t="s">
        <v>290</v>
      </c>
      <c r="F1380" s="38"/>
      <c r="G1380" s="181" t="s">
        <v>466</v>
      </c>
      <c r="H1380" s="38" t="s">
        <v>291</v>
      </c>
      <c r="I1380" s="282">
        <f t="shared" si="228"/>
        <v>2400</v>
      </c>
      <c r="J1380" s="282">
        <f t="shared" si="228"/>
        <v>495</v>
      </c>
      <c r="K1380" s="282">
        <f t="shared" si="228"/>
        <v>2895</v>
      </c>
      <c r="L1380" s="39">
        <f t="shared" si="228"/>
        <v>29000</v>
      </c>
      <c r="M1380" s="39">
        <f t="shared" si="228"/>
        <v>29000</v>
      </c>
      <c r="N1380" s="410"/>
      <c r="O1380" s="196"/>
      <c r="Q1380" s="35"/>
      <c r="S1380" s="268"/>
    </row>
    <row r="1381" spans="1:19" ht="20.100000000000001" hidden="1" customHeight="1" x14ac:dyDescent="0.25">
      <c r="A1381" s="174"/>
      <c r="B1381" s="174"/>
      <c r="C1381" s="174"/>
      <c r="D1381" s="174"/>
      <c r="E1381" s="171"/>
      <c r="F1381" s="38" t="s">
        <v>292</v>
      </c>
      <c r="G1381" s="181" t="s">
        <v>466</v>
      </c>
      <c r="H1381" s="38" t="s">
        <v>349</v>
      </c>
      <c r="I1381" s="282">
        <v>2400</v>
      </c>
      <c r="J1381" s="282">
        <f>K1381-I1381</f>
        <v>495</v>
      </c>
      <c r="K1381" s="282">
        <f>2690+205</f>
        <v>2895</v>
      </c>
      <c r="L1381" s="39">
        <v>29000</v>
      </c>
      <c r="M1381" s="39">
        <v>29000</v>
      </c>
      <c r="N1381" s="410"/>
      <c r="O1381" s="196"/>
      <c r="Q1381" s="35"/>
      <c r="S1381" s="268"/>
    </row>
    <row r="1382" spans="1:19" ht="20.100000000000001" hidden="1" customHeight="1" x14ac:dyDescent="0.25">
      <c r="A1382" s="174"/>
      <c r="B1382" s="174"/>
      <c r="C1382" s="174"/>
      <c r="D1382" s="174">
        <v>3113</v>
      </c>
      <c r="E1382" s="174"/>
      <c r="F1382" s="44"/>
      <c r="G1382" s="181" t="s">
        <v>466</v>
      </c>
      <c r="H1382" s="38" t="s">
        <v>16</v>
      </c>
      <c r="I1382" s="282">
        <f t="shared" ref="I1382:M1383" si="229">I1383</f>
        <v>140</v>
      </c>
      <c r="J1382" s="282">
        <f t="shared" si="229"/>
        <v>-140</v>
      </c>
      <c r="K1382" s="282">
        <f t="shared" si="229"/>
        <v>0</v>
      </c>
      <c r="L1382" s="39">
        <f t="shared" si="229"/>
        <v>5600</v>
      </c>
      <c r="M1382" s="39">
        <f t="shared" si="229"/>
        <v>5600</v>
      </c>
      <c r="N1382" s="410"/>
      <c r="O1382" s="196"/>
      <c r="Q1382" s="35"/>
      <c r="S1382" s="268"/>
    </row>
    <row r="1383" spans="1:19" ht="20.100000000000001" hidden="1" customHeight="1" x14ac:dyDescent="0.25">
      <c r="A1383" s="174"/>
      <c r="B1383" s="174"/>
      <c r="C1383" s="174"/>
      <c r="D1383" s="174"/>
      <c r="E1383" s="171" t="s">
        <v>293</v>
      </c>
      <c r="F1383" s="38"/>
      <c r="G1383" s="181" t="s">
        <v>466</v>
      </c>
      <c r="H1383" s="38" t="s">
        <v>16</v>
      </c>
      <c r="I1383" s="282">
        <f t="shared" si="229"/>
        <v>140</v>
      </c>
      <c r="J1383" s="282">
        <f t="shared" si="229"/>
        <v>-140</v>
      </c>
      <c r="K1383" s="282">
        <f t="shared" si="229"/>
        <v>0</v>
      </c>
      <c r="L1383" s="39">
        <f>L1384</f>
        <v>5600</v>
      </c>
      <c r="M1383" s="39">
        <f>M1384</f>
        <v>5600</v>
      </c>
      <c r="N1383" s="410"/>
      <c r="O1383" s="196"/>
      <c r="Q1383" s="35"/>
      <c r="S1383" s="268"/>
    </row>
    <row r="1384" spans="1:19" ht="20.100000000000001" hidden="1" customHeight="1" x14ac:dyDescent="0.25">
      <c r="A1384" s="174"/>
      <c r="B1384" s="174"/>
      <c r="C1384" s="174"/>
      <c r="D1384" s="174"/>
      <c r="E1384" s="171"/>
      <c r="F1384" s="38" t="s">
        <v>294</v>
      </c>
      <c r="G1384" s="181" t="s">
        <v>466</v>
      </c>
      <c r="H1384" s="38" t="s">
        <v>16</v>
      </c>
      <c r="I1384" s="282">
        <v>140</v>
      </c>
      <c r="J1384" s="282">
        <f>K1384-I1384</f>
        <v>-140</v>
      </c>
      <c r="K1384" s="282">
        <v>0</v>
      </c>
      <c r="L1384" s="39">
        <v>5600</v>
      </c>
      <c r="M1384" s="39">
        <v>5600</v>
      </c>
      <c r="N1384" s="410"/>
      <c r="O1384" s="196"/>
      <c r="Q1384" s="35"/>
      <c r="S1384" s="268"/>
    </row>
    <row r="1385" spans="1:19" ht="20.100000000000001" hidden="1" customHeight="1" x14ac:dyDescent="0.25">
      <c r="A1385" s="174"/>
      <c r="B1385" s="174"/>
      <c r="C1385" s="174"/>
      <c r="D1385" s="174">
        <v>3114</v>
      </c>
      <c r="E1385" s="174"/>
      <c r="F1385" s="44"/>
      <c r="G1385" s="181" t="s">
        <v>466</v>
      </c>
      <c r="H1385" s="38" t="s">
        <v>360</v>
      </c>
      <c r="I1385" s="282">
        <f t="shared" ref="I1385:M1386" si="230">I1386</f>
        <v>250</v>
      </c>
      <c r="J1385" s="282">
        <f t="shared" si="230"/>
        <v>-37</v>
      </c>
      <c r="K1385" s="282">
        <f t="shared" si="230"/>
        <v>213</v>
      </c>
      <c r="L1385" s="39">
        <f t="shared" si="230"/>
        <v>2600</v>
      </c>
      <c r="M1385" s="39">
        <f t="shared" si="230"/>
        <v>2600</v>
      </c>
      <c r="N1385" s="410"/>
      <c r="O1385" s="196"/>
      <c r="Q1385" s="35"/>
      <c r="S1385" s="268"/>
    </row>
    <row r="1386" spans="1:19" ht="20.100000000000001" hidden="1" customHeight="1" x14ac:dyDescent="0.25">
      <c r="A1386" s="174"/>
      <c r="B1386" s="174"/>
      <c r="C1386" s="174"/>
      <c r="D1386" s="174"/>
      <c r="E1386" s="171" t="s">
        <v>295</v>
      </c>
      <c r="F1386" s="38"/>
      <c r="G1386" s="181" t="s">
        <v>466</v>
      </c>
      <c r="H1386" s="38" t="s">
        <v>17</v>
      </c>
      <c r="I1386" s="282">
        <f t="shared" si="230"/>
        <v>250</v>
      </c>
      <c r="J1386" s="282">
        <f t="shared" si="230"/>
        <v>-37</v>
      </c>
      <c r="K1386" s="282">
        <f t="shared" si="230"/>
        <v>213</v>
      </c>
      <c r="L1386" s="39">
        <f t="shared" si="230"/>
        <v>2600</v>
      </c>
      <c r="M1386" s="39">
        <f t="shared" si="230"/>
        <v>2600</v>
      </c>
      <c r="N1386" s="410"/>
      <c r="O1386" s="196"/>
      <c r="Q1386" s="35"/>
      <c r="S1386" s="268"/>
    </row>
    <row r="1387" spans="1:19" ht="20.100000000000001" hidden="1" customHeight="1" x14ac:dyDescent="0.25">
      <c r="A1387" s="174"/>
      <c r="B1387" s="174"/>
      <c r="C1387" s="174"/>
      <c r="D1387" s="174"/>
      <c r="E1387" s="171"/>
      <c r="F1387" s="38" t="s">
        <v>296</v>
      </c>
      <c r="G1387" s="181" t="s">
        <v>466</v>
      </c>
      <c r="H1387" s="38" t="s">
        <v>17</v>
      </c>
      <c r="I1387" s="282">
        <v>250</v>
      </c>
      <c r="J1387" s="282">
        <f>K1387-I1387</f>
        <v>-37</v>
      </c>
      <c r="K1387" s="282">
        <f>203+10</f>
        <v>213</v>
      </c>
      <c r="L1387" s="39">
        <v>2600</v>
      </c>
      <c r="M1387" s="39">
        <v>2600</v>
      </c>
      <c r="N1387" s="410"/>
      <c r="O1387" s="196"/>
      <c r="Q1387" s="35"/>
      <c r="S1387" s="268"/>
    </row>
    <row r="1388" spans="1:19" ht="20.100000000000001" hidden="1" customHeight="1" x14ac:dyDescent="0.25">
      <c r="A1388" s="172"/>
      <c r="B1388" s="172"/>
      <c r="C1388" s="172">
        <v>312</v>
      </c>
      <c r="D1388" s="172"/>
      <c r="E1388" s="172"/>
      <c r="F1388" s="42"/>
      <c r="G1388" s="181" t="s">
        <v>466</v>
      </c>
      <c r="H1388" s="43" t="s">
        <v>18</v>
      </c>
      <c r="I1388" s="282"/>
      <c r="J1388" s="282"/>
      <c r="K1388" s="282"/>
      <c r="L1388" s="31"/>
      <c r="M1388" s="31"/>
      <c r="N1388" s="410"/>
      <c r="O1388" s="196"/>
      <c r="Q1388" s="35"/>
      <c r="S1388" s="268"/>
    </row>
    <row r="1389" spans="1:19" ht="20.100000000000001" hidden="1" customHeight="1" x14ac:dyDescent="0.25">
      <c r="A1389" s="174"/>
      <c r="B1389" s="174"/>
      <c r="C1389" s="174"/>
      <c r="D1389" s="174">
        <v>3121</v>
      </c>
      <c r="E1389" s="174"/>
      <c r="F1389" s="44"/>
      <c r="G1389" s="181" t="s">
        <v>466</v>
      </c>
      <c r="H1389" s="38" t="s">
        <v>18</v>
      </c>
      <c r="I1389" s="282"/>
      <c r="J1389" s="282"/>
      <c r="K1389" s="282"/>
      <c r="L1389" s="31"/>
      <c r="M1389" s="31"/>
      <c r="N1389" s="410"/>
      <c r="O1389" s="196"/>
      <c r="Q1389" s="35"/>
      <c r="S1389" s="268"/>
    </row>
    <row r="1390" spans="1:19" ht="20.100000000000001" hidden="1" customHeight="1" x14ac:dyDescent="0.25">
      <c r="A1390" s="174"/>
      <c r="B1390" s="174"/>
      <c r="C1390" s="174"/>
      <c r="D1390" s="174"/>
      <c r="E1390" s="171" t="s">
        <v>84</v>
      </c>
      <c r="F1390" s="38"/>
      <c r="G1390" s="181" t="s">
        <v>466</v>
      </c>
      <c r="H1390" s="38" t="s">
        <v>85</v>
      </c>
      <c r="I1390" s="282"/>
      <c r="J1390" s="282"/>
      <c r="K1390" s="282"/>
      <c r="L1390" s="31"/>
      <c r="M1390" s="31"/>
      <c r="N1390" s="410"/>
      <c r="O1390" s="196"/>
      <c r="Q1390" s="35"/>
      <c r="S1390" s="268"/>
    </row>
    <row r="1391" spans="1:19" ht="20.100000000000001" hidden="1" customHeight="1" x14ac:dyDescent="0.25">
      <c r="A1391" s="174"/>
      <c r="B1391" s="174"/>
      <c r="C1391" s="174"/>
      <c r="D1391" s="174"/>
      <c r="E1391" s="171"/>
      <c r="F1391" s="38" t="s">
        <v>86</v>
      </c>
      <c r="G1391" s="181" t="s">
        <v>466</v>
      </c>
      <c r="H1391" s="38" t="s">
        <v>85</v>
      </c>
      <c r="I1391" s="282"/>
      <c r="J1391" s="282"/>
      <c r="K1391" s="282"/>
      <c r="L1391" s="31"/>
      <c r="M1391" s="31"/>
      <c r="N1391" s="410"/>
      <c r="O1391" s="196"/>
      <c r="Q1391" s="35"/>
      <c r="S1391" s="268"/>
    </row>
    <row r="1392" spans="1:19" ht="20.100000000000001" hidden="1" customHeight="1" x14ac:dyDescent="0.25">
      <c r="A1392" s="174"/>
      <c r="B1392" s="174"/>
      <c r="C1392" s="174"/>
      <c r="D1392" s="174"/>
      <c r="E1392" s="171" t="s">
        <v>87</v>
      </c>
      <c r="F1392" s="38"/>
      <c r="G1392" s="181" t="s">
        <v>466</v>
      </c>
      <c r="H1392" s="38" t="s">
        <v>88</v>
      </c>
      <c r="I1392" s="282"/>
      <c r="J1392" s="282"/>
      <c r="K1392" s="282"/>
      <c r="L1392" s="31"/>
      <c r="M1392" s="31"/>
      <c r="N1392" s="410"/>
      <c r="O1392" s="196"/>
      <c r="Q1392" s="35"/>
      <c r="S1392" s="268"/>
    </row>
    <row r="1393" spans="1:19" ht="20.100000000000001" hidden="1" customHeight="1" x14ac:dyDescent="0.25">
      <c r="A1393" s="174"/>
      <c r="B1393" s="174"/>
      <c r="C1393" s="174"/>
      <c r="D1393" s="174"/>
      <c r="E1393" s="171"/>
      <c r="F1393" s="38" t="s">
        <v>89</v>
      </c>
      <c r="G1393" s="181" t="s">
        <v>466</v>
      </c>
      <c r="H1393" s="38" t="s">
        <v>88</v>
      </c>
      <c r="I1393" s="282"/>
      <c r="J1393" s="282"/>
      <c r="K1393" s="282"/>
      <c r="L1393" s="31"/>
      <c r="M1393" s="31"/>
      <c r="N1393" s="410"/>
      <c r="O1393" s="196"/>
      <c r="Q1393" s="35"/>
      <c r="S1393" s="268"/>
    </row>
    <row r="1394" spans="1:19" ht="20.100000000000001" hidden="1" customHeight="1" x14ac:dyDescent="0.25">
      <c r="A1394" s="174"/>
      <c r="B1394" s="174"/>
      <c r="C1394" s="174"/>
      <c r="D1394" s="174"/>
      <c r="E1394" s="171" t="s">
        <v>90</v>
      </c>
      <c r="F1394" s="38"/>
      <c r="G1394" s="181" t="s">
        <v>466</v>
      </c>
      <c r="H1394" s="38" t="s">
        <v>91</v>
      </c>
      <c r="I1394" s="282"/>
      <c r="J1394" s="282"/>
      <c r="K1394" s="282"/>
      <c r="L1394" s="31"/>
      <c r="M1394" s="31"/>
      <c r="N1394" s="410"/>
      <c r="O1394" s="196"/>
      <c r="Q1394" s="35"/>
      <c r="S1394" s="268"/>
    </row>
    <row r="1395" spans="1:19" ht="20.100000000000001" hidden="1" customHeight="1" x14ac:dyDescent="0.25">
      <c r="A1395" s="174"/>
      <c r="B1395" s="174"/>
      <c r="C1395" s="174"/>
      <c r="D1395" s="174"/>
      <c r="E1395" s="171"/>
      <c r="F1395" s="38" t="s">
        <v>92</v>
      </c>
      <c r="G1395" s="181" t="s">
        <v>466</v>
      </c>
      <c r="H1395" s="38" t="s">
        <v>91</v>
      </c>
      <c r="I1395" s="282"/>
      <c r="J1395" s="282"/>
      <c r="K1395" s="282"/>
      <c r="L1395" s="31"/>
      <c r="M1395" s="31"/>
      <c r="N1395" s="410"/>
      <c r="O1395" s="196"/>
      <c r="Q1395" s="35"/>
      <c r="S1395" s="268"/>
    </row>
    <row r="1396" spans="1:19" ht="20.100000000000001" hidden="1" customHeight="1" x14ac:dyDescent="0.25">
      <c r="A1396" s="174"/>
      <c r="B1396" s="174"/>
      <c r="C1396" s="174"/>
      <c r="D1396" s="174"/>
      <c r="E1396" s="171" t="s">
        <v>93</v>
      </c>
      <c r="F1396" s="38"/>
      <c r="G1396" s="181" t="s">
        <v>466</v>
      </c>
      <c r="H1396" s="38" t="s">
        <v>94</v>
      </c>
      <c r="I1396" s="282"/>
      <c r="J1396" s="282"/>
      <c r="K1396" s="282"/>
      <c r="L1396" s="31"/>
      <c r="M1396" s="31"/>
      <c r="N1396" s="410"/>
      <c r="O1396" s="196"/>
      <c r="Q1396" s="35"/>
      <c r="S1396" s="268"/>
    </row>
    <row r="1397" spans="1:19" ht="20.100000000000001" hidden="1" customHeight="1" x14ac:dyDescent="0.25">
      <c r="A1397" s="174"/>
      <c r="B1397" s="174"/>
      <c r="C1397" s="174"/>
      <c r="D1397" s="174"/>
      <c r="E1397" s="171"/>
      <c r="F1397" s="38" t="s">
        <v>95</v>
      </c>
      <c r="G1397" s="181" t="s">
        <v>466</v>
      </c>
      <c r="H1397" s="38" t="s">
        <v>94</v>
      </c>
      <c r="I1397" s="282"/>
      <c r="J1397" s="282"/>
      <c r="K1397" s="282"/>
      <c r="L1397" s="31"/>
      <c r="M1397" s="31"/>
      <c r="N1397" s="410"/>
      <c r="O1397" s="196"/>
      <c r="Q1397" s="35"/>
      <c r="S1397" s="268"/>
    </row>
    <row r="1398" spans="1:19" ht="20.100000000000001" hidden="1" customHeight="1" x14ac:dyDescent="0.25">
      <c r="A1398" s="174"/>
      <c r="B1398" s="174"/>
      <c r="C1398" s="174"/>
      <c r="D1398" s="174"/>
      <c r="E1398" s="171" t="s">
        <v>96</v>
      </c>
      <c r="F1398" s="38"/>
      <c r="G1398" s="181" t="s">
        <v>466</v>
      </c>
      <c r="H1398" s="38" t="s">
        <v>97</v>
      </c>
      <c r="I1398" s="282"/>
      <c r="J1398" s="282"/>
      <c r="K1398" s="282"/>
      <c r="L1398" s="31"/>
      <c r="M1398" s="31"/>
      <c r="N1398" s="410"/>
      <c r="O1398" s="196"/>
      <c r="Q1398" s="35"/>
      <c r="S1398" s="268"/>
    </row>
    <row r="1399" spans="1:19" ht="20.100000000000001" hidden="1" customHeight="1" x14ac:dyDescent="0.25">
      <c r="A1399" s="174"/>
      <c r="B1399" s="174"/>
      <c r="C1399" s="174"/>
      <c r="D1399" s="174"/>
      <c r="E1399" s="171"/>
      <c r="F1399" s="38" t="s">
        <v>98</v>
      </c>
      <c r="G1399" s="181" t="s">
        <v>466</v>
      </c>
      <c r="H1399" s="38" t="s">
        <v>97</v>
      </c>
      <c r="I1399" s="282"/>
      <c r="J1399" s="282"/>
      <c r="K1399" s="282"/>
      <c r="L1399" s="31"/>
      <c r="M1399" s="31"/>
      <c r="N1399" s="410"/>
      <c r="O1399" s="196"/>
      <c r="Q1399" s="35"/>
      <c r="S1399" s="268"/>
    </row>
    <row r="1400" spans="1:19" s="154" customFormat="1" ht="20.100000000000001" hidden="1" customHeight="1" x14ac:dyDescent="0.25">
      <c r="A1400" s="176"/>
      <c r="B1400" s="176"/>
      <c r="C1400" s="172">
        <v>313</v>
      </c>
      <c r="D1400" s="172"/>
      <c r="E1400" s="172"/>
      <c r="F1400" s="42"/>
      <c r="G1400" s="181" t="s">
        <v>466</v>
      </c>
      <c r="H1400" s="43" t="s">
        <v>100</v>
      </c>
      <c r="I1400" s="281">
        <f>I1401+I1406</f>
        <v>580</v>
      </c>
      <c r="J1400" s="281">
        <f>J1401+J1406</f>
        <v>-68</v>
      </c>
      <c r="K1400" s="281">
        <f>K1401+K1406</f>
        <v>512</v>
      </c>
      <c r="L1400" s="151">
        <f t="shared" ref="L1400:M1400" si="231">L1401+L1406</f>
        <v>4850</v>
      </c>
      <c r="M1400" s="151">
        <f t="shared" si="231"/>
        <v>4850</v>
      </c>
      <c r="N1400" s="410"/>
      <c r="O1400" s="196"/>
      <c r="P1400" s="411"/>
      <c r="Q1400" s="152"/>
      <c r="R1400" s="153"/>
      <c r="S1400" s="153"/>
    </row>
    <row r="1401" spans="1:19" ht="20.100000000000001" hidden="1" customHeight="1" x14ac:dyDescent="0.25">
      <c r="A1401" s="174"/>
      <c r="B1401" s="174"/>
      <c r="C1401" s="174"/>
      <c r="D1401" s="174">
        <v>3132</v>
      </c>
      <c r="E1401" s="174"/>
      <c r="F1401" s="44"/>
      <c r="G1401" s="181" t="s">
        <v>466</v>
      </c>
      <c r="H1401" s="38" t="s">
        <v>20</v>
      </c>
      <c r="I1401" s="282">
        <f>I1402+I1404</f>
        <v>580</v>
      </c>
      <c r="J1401" s="282">
        <f>J1402+J1404</f>
        <v>-68</v>
      </c>
      <c r="K1401" s="282">
        <f>K1402+K1404</f>
        <v>512</v>
      </c>
      <c r="L1401" s="39">
        <f t="shared" ref="L1401:M1401" si="232">L1402+L1404</f>
        <v>4450</v>
      </c>
      <c r="M1401" s="39">
        <f t="shared" si="232"/>
        <v>4450</v>
      </c>
      <c r="N1401" s="410"/>
      <c r="O1401" s="196"/>
      <c r="Q1401" s="35"/>
      <c r="S1401" s="268"/>
    </row>
    <row r="1402" spans="1:19" ht="20.100000000000001" hidden="1" customHeight="1" x14ac:dyDescent="0.25">
      <c r="A1402" s="174"/>
      <c r="B1402" s="174"/>
      <c r="C1402" s="174"/>
      <c r="D1402" s="174"/>
      <c r="E1402" s="171" t="s">
        <v>300</v>
      </c>
      <c r="F1402" s="38"/>
      <c r="G1402" s="181" t="s">
        <v>466</v>
      </c>
      <c r="H1402" s="38" t="s">
        <v>20</v>
      </c>
      <c r="I1402" s="282">
        <f>I1403</f>
        <v>580</v>
      </c>
      <c r="J1402" s="282">
        <f>J1403</f>
        <v>-68</v>
      </c>
      <c r="K1402" s="282">
        <f>K1403</f>
        <v>512</v>
      </c>
      <c r="L1402" s="39">
        <f t="shared" ref="L1402:M1402" si="233">L1403</f>
        <v>4300</v>
      </c>
      <c r="M1402" s="39">
        <f t="shared" si="233"/>
        <v>4300</v>
      </c>
      <c r="N1402" s="410"/>
      <c r="O1402" s="196"/>
      <c r="Q1402" s="35"/>
      <c r="S1402" s="268"/>
    </row>
    <row r="1403" spans="1:19" ht="20.100000000000001" hidden="1" customHeight="1" x14ac:dyDescent="0.25">
      <c r="A1403" s="174"/>
      <c r="B1403" s="174"/>
      <c r="C1403" s="174"/>
      <c r="D1403" s="174"/>
      <c r="E1403" s="171"/>
      <c r="F1403" s="38" t="s">
        <v>301</v>
      </c>
      <c r="G1403" s="181" t="s">
        <v>466</v>
      </c>
      <c r="H1403" s="38" t="s">
        <v>20</v>
      </c>
      <c r="I1403" s="282">
        <v>580</v>
      </c>
      <c r="J1403" s="282">
        <f>K1403-I1403</f>
        <v>-68</v>
      </c>
      <c r="K1403" s="282">
        <f>477+35</f>
        <v>512</v>
      </c>
      <c r="L1403" s="34">
        <v>4300</v>
      </c>
      <c r="M1403" s="34">
        <v>4300</v>
      </c>
      <c r="N1403" s="410"/>
      <c r="O1403" s="196"/>
      <c r="Q1403" s="35"/>
      <c r="S1403" s="268"/>
    </row>
    <row r="1404" spans="1:19" ht="30" hidden="1" customHeight="1" x14ac:dyDescent="0.25">
      <c r="A1404" s="174"/>
      <c r="B1404" s="174"/>
      <c r="C1404" s="174"/>
      <c r="D1404" s="174"/>
      <c r="E1404" s="171" t="s">
        <v>302</v>
      </c>
      <c r="F1404" s="38"/>
      <c r="G1404" s="181" t="s">
        <v>466</v>
      </c>
      <c r="H1404" s="38" t="s">
        <v>101</v>
      </c>
      <c r="I1404" s="282">
        <f>I1405</f>
        <v>0</v>
      </c>
      <c r="J1404" s="282">
        <f>J1405</f>
        <v>0</v>
      </c>
      <c r="K1404" s="282">
        <f>K1405</f>
        <v>0</v>
      </c>
      <c r="L1404" s="39">
        <f t="shared" ref="L1404:M1404" si="234">L1405</f>
        <v>150</v>
      </c>
      <c r="M1404" s="39">
        <f t="shared" si="234"/>
        <v>150</v>
      </c>
      <c r="N1404" s="410"/>
      <c r="O1404" s="196"/>
      <c r="Q1404" s="35"/>
      <c r="S1404" s="268"/>
    </row>
    <row r="1405" spans="1:19" ht="30" hidden="1" customHeight="1" x14ac:dyDescent="0.25">
      <c r="A1405" s="174"/>
      <c r="B1405" s="174"/>
      <c r="C1405" s="174"/>
      <c r="D1405" s="174"/>
      <c r="E1405" s="171"/>
      <c r="F1405" s="38" t="s">
        <v>303</v>
      </c>
      <c r="G1405" s="181" t="s">
        <v>466</v>
      </c>
      <c r="H1405" s="38" t="s">
        <v>101</v>
      </c>
      <c r="I1405" s="282">
        <v>0</v>
      </c>
      <c r="J1405" s="282">
        <f>K1405-I1405</f>
        <v>0</v>
      </c>
      <c r="K1405" s="282">
        <v>0</v>
      </c>
      <c r="L1405" s="34">
        <v>150</v>
      </c>
      <c r="M1405" s="34">
        <v>150</v>
      </c>
      <c r="N1405" s="410"/>
      <c r="O1405" s="196"/>
      <c r="Q1405" s="35"/>
      <c r="S1405" s="268"/>
    </row>
    <row r="1406" spans="1:19" ht="30" hidden="1" customHeight="1" x14ac:dyDescent="0.25">
      <c r="A1406" s="174"/>
      <c r="B1406" s="174"/>
      <c r="C1406" s="174"/>
      <c r="D1406" s="174">
        <v>3133</v>
      </c>
      <c r="E1406" s="171"/>
      <c r="F1406" s="38"/>
      <c r="G1406" s="181" t="s">
        <v>466</v>
      </c>
      <c r="H1406" s="38" t="s">
        <v>21</v>
      </c>
      <c r="I1406" s="282">
        <f t="shared" ref="I1406:M1407" si="235">I1407</f>
        <v>0</v>
      </c>
      <c r="J1406" s="282">
        <f t="shared" si="235"/>
        <v>0</v>
      </c>
      <c r="K1406" s="282">
        <f t="shared" si="235"/>
        <v>0</v>
      </c>
      <c r="L1406" s="39">
        <f t="shared" si="235"/>
        <v>400</v>
      </c>
      <c r="M1406" s="39">
        <f t="shared" si="235"/>
        <v>400</v>
      </c>
      <c r="N1406" s="410"/>
      <c r="O1406" s="196"/>
      <c r="Q1406" s="35"/>
      <c r="S1406" s="268"/>
    </row>
    <row r="1407" spans="1:19" ht="30" hidden="1" customHeight="1" x14ac:dyDescent="0.25">
      <c r="A1407" s="174"/>
      <c r="B1407" s="174"/>
      <c r="C1407" s="174"/>
      <c r="D1407" s="174"/>
      <c r="E1407" s="171" t="s">
        <v>304</v>
      </c>
      <c r="F1407" s="38"/>
      <c r="G1407" s="181" t="s">
        <v>466</v>
      </c>
      <c r="H1407" s="38" t="s">
        <v>21</v>
      </c>
      <c r="I1407" s="282">
        <f t="shared" si="235"/>
        <v>0</v>
      </c>
      <c r="J1407" s="282">
        <f t="shared" si="235"/>
        <v>0</v>
      </c>
      <c r="K1407" s="282">
        <f t="shared" si="235"/>
        <v>0</v>
      </c>
      <c r="L1407" s="39">
        <f t="shared" si="235"/>
        <v>400</v>
      </c>
      <c r="M1407" s="39">
        <f t="shared" si="235"/>
        <v>400</v>
      </c>
      <c r="N1407" s="410"/>
      <c r="O1407" s="196"/>
      <c r="Q1407" s="35"/>
      <c r="S1407" s="268"/>
    </row>
    <row r="1408" spans="1:19" ht="30" hidden="1" customHeight="1" x14ac:dyDescent="0.25">
      <c r="A1408" s="174"/>
      <c r="B1408" s="174"/>
      <c r="C1408" s="174"/>
      <c r="D1408" s="174"/>
      <c r="E1408" s="171"/>
      <c r="F1408" s="38" t="s">
        <v>305</v>
      </c>
      <c r="G1408" s="181" t="s">
        <v>466</v>
      </c>
      <c r="H1408" s="38" t="s">
        <v>21</v>
      </c>
      <c r="I1408" s="282">
        <v>0</v>
      </c>
      <c r="J1408" s="282">
        <f>K1408-I1408</f>
        <v>0</v>
      </c>
      <c r="K1408" s="282">
        <v>0</v>
      </c>
      <c r="L1408" s="34">
        <v>400</v>
      </c>
      <c r="M1408" s="34">
        <v>400</v>
      </c>
      <c r="N1408" s="410"/>
      <c r="O1408" s="196"/>
      <c r="Q1408" s="35"/>
      <c r="S1408" s="268"/>
    </row>
    <row r="1409" spans="1:19" ht="20.100000000000001" customHeight="1" x14ac:dyDescent="0.25">
      <c r="A1409" s="174"/>
      <c r="B1409" s="172">
        <v>32</v>
      </c>
      <c r="C1409" s="172"/>
      <c r="D1409" s="172"/>
      <c r="E1409" s="173"/>
      <c r="F1409" s="43"/>
      <c r="G1409" s="181" t="s">
        <v>466</v>
      </c>
      <c r="H1409" s="43" t="s">
        <v>22</v>
      </c>
      <c r="I1409" s="281">
        <f>I1426+I1449</f>
        <v>2130</v>
      </c>
      <c r="J1409" s="281">
        <f>J1426+J1449</f>
        <v>-250</v>
      </c>
      <c r="K1409" s="281">
        <f>K1426+K1449</f>
        <v>1880</v>
      </c>
      <c r="L1409" s="45">
        <f t="shared" ref="L1409:M1409" si="236">L1426+L1449</f>
        <v>15950</v>
      </c>
      <c r="M1409" s="45">
        <f t="shared" si="236"/>
        <v>15950</v>
      </c>
      <c r="N1409" s="410"/>
      <c r="O1409" s="196"/>
      <c r="Q1409" s="35"/>
      <c r="S1409" s="268"/>
    </row>
    <row r="1410" spans="1:19" ht="20.100000000000001" hidden="1" customHeight="1" x14ac:dyDescent="0.25">
      <c r="A1410" s="174"/>
      <c r="B1410" s="174"/>
      <c r="C1410" s="174">
        <v>321</v>
      </c>
      <c r="D1410" s="174"/>
      <c r="E1410" s="171"/>
      <c r="F1410" s="38"/>
      <c r="G1410" s="181"/>
      <c r="H1410" s="38" t="s">
        <v>23</v>
      </c>
      <c r="I1410" s="282">
        <f>I1411+I1420</f>
        <v>0</v>
      </c>
      <c r="J1410" s="282">
        <f>J1411+J1420</f>
        <v>0</v>
      </c>
      <c r="K1410" s="282">
        <f>K1411+K1420</f>
        <v>0</v>
      </c>
      <c r="L1410" s="34">
        <f t="shared" ref="L1410:M1410" si="237">L1411+L1420</f>
        <v>0</v>
      </c>
      <c r="M1410" s="34">
        <f t="shared" si="237"/>
        <v>0</v>
      </c>
      <c r="N1410" s="410"/>
      <c r="O1410" s="196"/>
      <c r="Q1410" s="35"/>
      <c r="S1410" s="268"/>
    </row>
    <row r="1411" spans="1:19" ht="20.100000000000001" hidden="1" customHeight="1" x14ac:dyDescent="0.25">
      <c r="A1411" s="174"/>
      <c r="B1411" s="174"/>
      <c r="C1411" s="174"/>
      <c r="D1411" s="174">
        <v>3211</v>
      </c>
      <c r="E1411" s="171"/>
      <c r="F1411" s="38"/>
      <c r="G1411" s="181"/>
      <c r="H1411" s="38" t="s">
        <v>24</v>
      </c>
      <c r="I1411" s="282">
        <f t="shared" ref="I1411:M1412" si="238">I1412</f>
        <v>0</v>
      </c>
      <c r="J1411" s="282">
        <f t="shared" si="238"/>
        <v>0</v>
      </c>
      <c r="K1411" s="282">
        <f t="shared" si="238"/>
        <v>0</v>
      </c>
      <c r="L1411" s="34">
        <f t="shared" si="238"/>
        <v>0</v>
      </c>
      <c r="M1411" s="34">
        <f t="shared" si="238"/>
        <v>0</v>
      </c>
      <c r="N1411" s="410"/>
      <c r="O1411" s="196"/>
      <c r="Q1411" s="35"/>
      <c r="S1411" s="268"/>
    </row>
    <row r="1412" spans="1:19" ht="20.100000000000001" hidden="1" customHeight="1" x14ac:dyDescent="0.25">
      <c r="A1412" s="174"/>
      <c r="B1412" s="174"/>
      <c r="C1412" s="174"/>
      <c r="D1412" s="174"/>
      <c r="E1412" s="171" t="s">
        <v>306</v>
      </c>
      <c r="F1412" s="38"/>
      <c r="G1412" s="181"/>
      <c r="H1412" s="38" t="s">
        <v>102</v>
      </c>
      <c r="I1412" s="282">
        <f t="shared" si="238"/>
        <v>0</v>
      </c>
      <c r="J1412" s="282">
        <f t="shared" si="238"/>
        <v>0</v>
      </c>
      <c r="K1412" s="282">
        <f t="shared" si="238"/>
        <v>0</v>
      </c>
      <c r="L1412" s="34">
        <f t="shared" si="238"/>
        <v>0</v>
      </c>
      <c r="M1412" s="34">
        <f t="shared" si="238"/>
        <v>0</v>
      </c>
      <c r="N1412" s="410"/>
      <c r="O1412" s="196"/>
      <c r="Q1412" s="35"/>
      <c r="S1412" s="268"/>
    </row>
    <row r="1413" spans="1:19" ht="20.100000000000001" hidden="1" customHeight="1" x14ac:dyDescent="0.25">
      <c r="A1413" s="174"/>
      <c r="B1413" s="174"/>
      <c r="C1413" s="174"/>
      <c r="D1413" s="174"/>
      <c r="E1413" s="171"/>
      <c r="F1413" s="38" t="s">
        <v>307</v>
      </c>
      <c r="G1413" s="181"/>
      <c r="H1413" s="38" t="s">
        <v>102</v>
      </c>
      <c r="I1413" s="282">
        <v>0</v>
      </c>
      <c r="J1413" s="282">
        <v>0</v>
      </c>
      <c r="K1413" s="282">
        <f>I1413+J1413</f>
        <v>0</v>
      </c>
      <c r="L1413" s="34">
        <v>0</v>
      </c>
      <c r="M1413" s="34">
        <v>0</v>
      </c>
      <c r="N1413" s="410"/>
      <c r="O1413" s="196"/>
      <c r="Q1413" s="35"/>
      <c r="S1413" s="268"/>
    </row>
    <row r="1414" spans="1:19" ht="20.100000000000001" hidden="1" customHeight="1" x14ac:dyDescent="0.25">
      <c r="A1414" s="174"/>
      <c r="B1414" s="174"/>
      <c r="C1414" s="174"/>
      <c r="D1414" s="174"/>
      <c r="E1414" s="171" t="s">
        <v>308</v>
      </c>
      <c r="F1414" s="38"/>
      <c r="G1414" s="181"/>
      <c r="H1414" s="38" t="s">
        <v>103</v>
      </c>
      <c r="I1414" s="282">
        <v>0</v>
      </c>
      <c r="J1414" s="282">
        <v>0</v>
      </c>
      <c r="K1414" s="282">
        <v>0</v>
      </c>
      <c r="L1414" s="34"/>
      <c r="M1414" s="34"/>
      <c r="N1414" s="410"/>
      <c r="O1414" s="196"/>
      <c r="Q1414" s="35"/>
      <c r="S1414" s="268"/>
    </row>
    <row r="1415" spans="1:19" ht="20.100000000000001" hidden="1" customHeight="1" x14ac:dyDescent="0.25">
      <c r="A1415" s="174"/>
      <c r="B1415" s="174"/>
      <c r="C1415" s="174"/>
      <c r="D1415" s="174"/>
      <c r="E1415" s="171"/>
      <c r="F1415" s="38" t="s">
        <v>309</v>
      </c>
      <c r="G1415" s="181"/>
      <c r="H1415" s="38" t="s">
        <v>103</v>
      </c>
      <c r="I1415" s="282">
        <v>0</v>
      </c>
      <c r="J1415" s="282">
        <v>0</v>
      </c>
      <c r="K1415" s="282">
        <f>I1415+J1415</f>
        <v>0</v>
      </c>
      <c r="L1415" s="34"/>
      <c r="M1415" s="34"/>
      <c r="N1415" s="410"/>
      <c r="O1415" s="196"/>
      <c r="Q1415" s="35"/>
      <c r="S1415" s="268"/>
    </row>
    <row r="1416" spans="1:19" ht="20.100000000000001" hidden="1" customHeight="1" x14ac:dyDescent="0.25">
      <c r="A1416" s="174"/>
      <c r="B1416" s="174"/>
      <c r="C1416" s="174"/>
      <c r="D1416" s="174"/>
      <c r="E1416" s="171" t="s">
        <v>310</v>
      </c>
      <c r="F1416" s="38"/>
      <c r="G1416" s="181"/>
      <c r="H1416" s="38" t="s">
        <v>104</v>
      </c>
      <c r="I1416" s="282">
        <v>0</v>
      </c>
      <c r="J1416" s="282">
        <v>0</v>
      </c>
      <c r="K1416" s="282">
        <v>0</v>
      </c>
      <c r="L1416" s="34"/>
      <c r="M1416" s="34"/>
      <c r="N1416" s="410"/>
      <c r="O1416" s="196"/>
      <c r="Q1416" s="35"/>
      <c r="S1416" s="268"/>
    </row>
    <row r="1417" spans="1:19" ht="20.100000000000001" hidden="1" customHeight="1" x14ac:dyDescent="0.25">
      <c r="A1417" s="174"/>
      <c r="B1417" s="174"/>
      <c r="C1417" s="174"/>
      <c r="D1417" s="174"/>
      <c r="E1417" s="171"/>
      <c r="F1417" s="38" t="s">
        <v>311</v>
      </c>
      <c r="G1417" s="181"/>
      <c r="H1417" s="38" t="s">
        <v>104</v>
      </c>
      <c r="I1417" s="282">
        <v>0</v>
      </c>
      <c r="J1417" s="282">
        <v>0</v>
      </c>
      <c r="K1417" s="282">
        <f>I1417+J1417</f>
        <v>0</v>
      </c>
      <c r="L1417" s="34"/>
      <c r="M1417" s="34"/>
      <c r="N1417" s="410"/>
      <c r="O1417" s="196"/>
      <c r="Q1417" s="35"/>
      <c r="S1417" s="268"/>
    </row>
    <row r="1418" spans="1:19" ht="20.100000000000001" hidden="1" customHeight="1" x14ac:dyDescent="0.25">
      <c r="A1418" s="174"/>
      <c r="B1418" s="174"/>
      <c r="C1418" s="174"/>
      <c r="D1418" s="174"/>
      <c r="E1418" s="171" t="s">
        <v>312</v>
      </c>
      <c r="F1418" s="38"/>
      <c r="G1418" s="181"/>
      <c r="H1418" s="38" t="s">
        <v>105</v>
      </c>
      <c r="I1418" s="282">
        <v>0</v>
      </c>
      <c r="J1418" s="282">
        <v>0</v>
      </c>
      <c r="K1418" s="282">
        <v>0</v>
      </c>
      <c r="L1418" s="34"/>
      <c r="M1418" s="34"/>
      <c r="N1418" s="410"/>
      <c r="O1418" s="196"/>
      <c r="Q1418" s="35"/>
      <c r="S1418" s="268"/>
    </row>
    <row r="1419" spans="1:19" ht="20.100000000000001" hidden="1" customHeight="1" x14ac:dyDescent="0.25">
      <c r="A1419" s="174"/>
      <c r="B1419" s="174"/>
      <c r="C1419" s="174"/>
      <c r="D1419" s="174"/>
      <c r="E1419" s="171"/>
      <c r="F1419" s="38" t="s">
        <v>313</v>
      </c>
      <c r="G1419" s="181"/>
      <c r="H1419" s="38" t="s">
        <v>105</v>
      </c>
      <c r="I1419" s="282">
        <v>0</v>
      </c>
      <c r="J1419" s="282">
        <v>0</v>
      </c>
      <c r="K1419" s="282">
        <f>I1419+J1419</f>
        <v>0</v>
      </c>
      <c r="L1419" s="34"/>
      <c r="M1419" s="34"/>
      <c r="N1419" s="410"/>
      <c r="O1419" s="196"/>
      <c r="Q1419" s="35"/>
      <c r="S1419" s="268"/>
    </row>
    <row r="1420" spans="1:19" ht="20.100000000000001" hidden="1" customHeight="1" x14ac:dyDescent="0.25">
      <c r="A1420" s="174"/>
      <c r="B1420" s="174"/>
      <c r="C1420" s="174"/>
      <c r="D1420" s="174">
        <v>3213</v>
      </c>
      <c r="E1420" s="171"/>
      <c r="F1420" s="38"/>
      <c r="G1420" s="181"/>
      <c r="H1420" s="38" t="s">
        <v>26</v>
      </c>
      <c r="I1420" s="282">
        <f t="shared" ref="I1420:M1421" si="239">I1421</f>
        <v>0</v>
      </c>
      <c r="J1420" s="282">
        <f t="shared" si="239"/>
        <v>0</v>
      </c>
      <c r="K1420" s="282">
        <f t="shared" si="239"/>
        <v>0</v>
      </c>
      <c r="L1420" s="34">
        <f t="shared" si="239"/>
        <v>0</v>
      </c>
      <c r="M1420" s="34">
        <f t="shared" si="239"/>
        <v>0</v>
      </c>
      <c r="N1420" s="410"/>
      <c r="O1420" s="196"/>
      <c r="Q1420" s="35"/>
      <c r="S1420" s="268"/>
    </row>
    <row r="1421" spans="1:19" ht="20.100000000000001" hidden="1" customHeight="1" x14ac:dyDescent="0.25">
      <c r="A1421" s="174"/>
      <c r="B1421" s="174"/>
      <c r="C1421" s="174"/>
      <c r="D1421" s="174"/>
      <c r="E1421" s="171" t="s">
        <v>108</v>
      </c>
      <c r="F1421" s="38"/>
      <c r="G1421" s="181"/>
      <c r="H1421" s="38" t="s">
        <v>109</v>
      </c>
      <c r="I1421" s="282">
        <f t="shared" si="239"/>
        <v>0</v>
      </c>
      <c r="J1421" s="282">
        <f t="shared" si="239"/>
        <v>0</v>
      </c>
      <c r="K1421" s="282">
        <f t="shared" si="239"/>
        <v>0</v>
      </c>
      <c r="L1421" s="34">
        <f t="shared" si="239"/>
        <v>0</v>
      </c>
      <c r="M1421" s="34">
        <f t="shared" si="239"/>
        <v>0</v>
      </c>
      <c r="N1421" s="410"/>
      <c r="O1421" s="196"/>
      <c r="Q1421" s="35"/>
      <c r="S1421" s="268"/>
    </row>
    <row r="1422" spans="1:19" ht="20.100000000000001" hidden="1" customHeight="1" x14ac:dyDescent="0.25">
      <c r="A1422" s="174"/>
      <c r="B1422" s="174"/>
      <c r="C1422" s="174"/>
      <c r="D1422" s="174"/>
      <c r="E1422" s="171"/>
      <c r="F1422" s="38" t="s">
        <v>110</v>
      </c>
      <c r="G1422" s="181"/>
      <c r="H1422" s="38" t="s">
        <v>319</v>
      </c>
      <c r="I1422" s="282">
        <v>0</v>
      </c>
      <c r="J1422" s="282">
        <v>0</v>
      </c>
      <c r="K1422" s="282">
        <f>I1422+J1422</f>
        <v>0</v>
      </c>
      <c r="L1422" s="34">
        <v>0</v>
      </c>
      <c r="M1422" s="34">
        <v>0</v>
      </c>
      <c r="N1422" s="410"/>
      <c r="O1422" s="196"/>
      <c r="Q1422" s="35"/>
      <c r="S1422" s="268"/>
    </row>
    <row r="1423" spans="1:19" ht="20.100000000000001" hidden="1" customHeight="1" x14ac:dyDescent="0.25">
      <c r="A1423" s="174"/>
      <c r="B1423" s="174"/>
      <c r="C1423" s="174"/>
      <c r="D1423" s="174"/>
      <c r="E1423" s="171"/>
      <c r="F1423" s="38" t="s">
        <v>112</v>
      </c>
      <c r="G1423" s="181"/>
      <c r="H1423" s="38" t="s">
        <v>320</v>
      </c>
      <c r="I1423" s="282">
        <v>0</v>
      </c>
      <c r="J1423" s="282">
        <v>0</v>
      </c>
      <c r="K1423" s="282">
        <f>I1423+J1423</f>
        <v>0</v>
      </c>
      <c r="L1423" s="34"/>
      <c r="M1423" s="34"/>
      <c r="N1423" s="410"/>
      <c r="O1423" s="196"/>
      <c r="Q1423" s="35"/>
      <c r="S1423" s="268"/>
    </row>
    <row r="1424" spans="1:19" ht="20.100000000000001" hidden="1" customHeight="1" x14ac:dyDescent="0.25">
      <c r="A1424" s="174"/>
      <c r="B1424" s="174"/>
      <c r="C1424" s="174"/>
      <c r="D1424" s="174"/>
      <c r="E1424" s="171" t="s">
        <v>114</v>
      </c>
      <c r="F1424" s="38"/>
      <c r="G1424" s="181"/>
      <c r="H1424" s="38" t="s">
        <v>115</v>
      </c>
      <c r="I1424" s="282">
        <v>0</v>
      </c>
      <c r="J1424" s="282">
        <v>0</v>
      </c>
      <c r="K1424" s="282">
        <v>0</v>
      </c>
      <c r="L1424" s="34"/>
      <c r="M1424" s="34"/>
      <c r="N1424" s="410"/>
      <c r="O1424" s="196"/>
      <c r="Q1424" s="35"/>
      <c r="S1424" s="268"/>
    </row>
    <row r="1425" spans="1:19" ht="20.100000000000001" hidden="1" customHeight="1" x14ac:dyDescent="0.25">
      <c r="A1425" s="174"/>
      <c r="B1425" s="174"/>
      <c r="C1425" s="174"/>
      <c r="D1425" s="174"/>
      <c r="E1425" s="171"/>
      <c r="F1425" s="38" t="s">
        <v>116</v>
      </c>
      <c r="G1425" s="181"/>
      <c r="H1425" s="38" t="s">
        <v>115</v>
      </c>
      <c r="I1425" s="282">
        <v>0</v>
      </c>
      <c r="J1425" s="282">
        <v>0</v>
      </c>
      <c r="K1425" s="282">
        <f>I1425+J1425</f>
        <v>0</v>
      </c>
      <c r="L1425" s="34"/>
      <c r="M1425" s="34"/>
      <c r="N1425" s="410"/>
      <c r="O1425" s="196"/>
      <c r="Q1425" s="35"/>
      <c r="S1425" s="268"/>
    </row>
    <row r="1426" spans="1:19" s="150" customFormat="1" ht="20.100000000000001" hidden="1" customHeight="1" x14ac:dyDescent="0.25">
      <c r="A1426" s="176"/>
      <c r="B1426" s="176"/>
      <c r="C1426" s="172">
        <v>322</v>
      </c>
      <c r="D1426" s="172"/>
      <c r="E1426" s="173"/>
      <c r="F1426" s="43"/>
      <c r="G1426" s="181" t="s">
        <v>466</v>
      </c>
      <c r="H1426" s="43" t="s">
        <v>27</v>
      </c>
      <c r="I1426" s="281">
        <f>I1427+I1437+I1442</f>
        <v>1380</v>
      </c>
      <c r="J1426" s="281">
        <f>J1427+J1437+J1442</f>
        <v>0</v>
      </c>
      <c r="K1426" s="281">
        <f>K1427+K1437+K1442</f>
        <v>1380</v>
      </c>
      <c r="L1426" s="151">
        <f t="shared" ref="L1426:M1426" si="240">L1427+L1437+L1442</f>
        <v>3650</v>
      </c>
      <c r="M1426" s="151">
        <f t="shared" si="240"/>
        <v>3650</v>
      </c>
      <c r="N1426" s="410"/>
      <c r="O1426" s="196"/>
      <c r="P1426" s="270"/>
      <c r="Q1426" s="155"/>
      <c r="R1426" s="149"/>
      <c r="S1426" s="149"/>
    </row>
    <row r="1427" spans="1:19" ht="20.100000000000001" hidden="1" customHeight="1" x14ac:dyDescent="0.25">
      <c r="A1427" s="174"/>
      <c r="B1427" s="174"/>
      <c r="C1427" s="174"/>
      <c r="D1427" s="174">
        <v>3221</v>
      </c>
      <c r="E1427" s="171"/>
      <c r="F1427" s="38"/>
      <c r="G1427" s="181" t="s">
        <v>466</v>
      </c>
      <c r="H1427" s="38" t="s">
        <v>117</v>
      </c>
      <c r="I1427" s="282">
        <f>I1428+I1433+I1435</f>
        <v>350</v>
      </c>
      <c r="J1427" s="282">
        <f>J1428+J1433+J1435</f>
        <v>0</v>
      </c>
      <c r="K1427" s="282">
        <f>K1428+K1433+K1435</f>
        <v>350</v>
      </c>
      <c r="L1427" s="39">
        <f t="shared" ref="L1427:M1427" si="241">L1428+L1433+L1435</f>
        <v>850</v>
      </c>
      <c r="M1427" s="39">
        <f t="shared" si="241"/>
        <v>850</v>
      </c>
      <c r="N1427" s="410"/>
      <c r="O1427" s="196"/>
      <c r="Q1427" s="35"/>
      <c r="S1427" s="268"/>
    </row>
    <row r="1428" spans="1:19" ht="20.100000000000001" hidden="1" customHeight="1" x14ac:dyDescent="0.25">
      <c r="A1428" s="174"/>
      <c r="B1428" s="174"/>
      <c r="C1428" s="174"/>
      <c r="D1428" s="174"/>
      <c r="E1428" s="171" t="s">
        <v>118</v>
      </c>
      <c r="F1428" s="38"/>
      <c r="G1428" s="181" t="s">
        <v>466</v>
      </c>
      <c r="H1428" s="38" t="s">
        <v>119</v>
      </c>
      <c r="I1428" s="282">
        <f>I1430+I1429</f>
        <v>100</v>
      </c>
      <c r="J1428" s="282">
        <f>J1430+J1429</f>
        <v>0</v>
      </c>
      <c r="K1428" s="282">
        <f>K1430+K1429</f>
        <v>100</v>
      </c>
      <c r="L1428" s="39">
        <f t="shared" ref="L1428:M1428" si="242">L1430+L1429</f>
        <v>650</v>
      </c>
      <c r="M1428" s="39">
        <f t="shared" si="242"/>
        <v>650</v>
      </c>
      <c r="N1428" s="410"/>
      <c r="O1428" s="196"/>
      <c r="Q1428" s="35"/>
      <c r="S1428" s="268"/>
    </row>
    <row r="1429" spans="1:19" ht="20.100000000000001" hidden="1" customHeight="1" x14ac:dyDescent="0.25">
      <c r="A1429" s="174"/>
      <c r="B1429" s="174"/>
      <c r="C1429" s="174"/>
      <c r="D1429" s="174"/>
      <c r="E1429" s="171"/>
      <c r="F1429" s="38" t="s">
        <v>120</v>
      </c>
      <c r="G1429" s="181" t="s">
        <v>466</v>
      </c>
      <c r="H1429" s="38" t="s">
        <v>119</v>
      </c>
      <c r="I1429" s="282">
        <v>50</v>
      </c>
      <c r="J1429" s="282">
        <f>K1429-I1429</f>
        <v>0</v>
      </c>
      <c r="K1429" s="282">
        <v>50</v>
      </c>
      <c r="L1429" s="34">
        <v>200</v>
      </c>
      <c r="M1429" s="34">
        <v>200</v>
      </c>
      <c r="N1429" s="410"/>
      <c r="O1429" s="196"/>
      <c r="Q1429" s="35"/>
      <c r="S1429" s="268"/>
    </row>
    <row r="1430" spans="1:19" ht="20.100000000000001" hidden="1" customHeight="1" x14ac:dyDescent="0.25">
      <c r="A1430" s="174"/>
      <c r="B1430" s="174"/>
      <c r="C1430" s="174"/>
      <c r="D1430" s="174"/>
      <c r="E1430" s="171"/>
      <c r="F1430" s="38" t="s">
        <v>121</v>
      </c>
      <c r="G1430" s="181" t="s">
        <v>466</v>
      </c>
      <c r="H1430" s="38" t="s">
        <v>321</v>
      </c>
      <c r="I1430" s="282">
        <v>50</v>
      </c>
      <c r="J1430" s="282">
        <f>K1430-I1430</f>
        <v>0</v>
      </c>
      <c r="K1430" s="282">
        <v>50</v>
      </c>
      <c r="L1430" s="34">
        <v>450</v>
      </c>
      <c r="M1430" s="34">
        <v>450</v>
      </c>
      <c r="N1430" s="410"/>
      <c r="O1430" s="196"/>
      <c r="Q1430" s="35"/>
      <c r="S1430" s="268"/>
    </row>
    <row r="1431" spans="1:19" ht="20.100000000000001" hidden="1" customHeight="1" x14ac:dyDescent="0.25">
      <c r="A1431" s="174"/>
      <c r="B1431" s="174"/>
      <c r="C1431" s="174"/>
      <c r="D1431" s="174"/>
      <c r="E1431" s="171" t="s">
        <v>123</v>
      </c>
      <c r="F1431" s="38"/>
      <c r="G1431" s="181" t="s">
        <v>466</v>
      </c>
      <c r="H1431" s="38" t="s">
        <v>124</v>
      </c>
      <c r="I1431" s="282">
        <v>0</v>
      </c>
      <c r="J1431" s="282">
        <v>0</v>
      </c>
      <c r="K1431" s="282">
        <v>0</v>
      </c>
      <c r="L1431" s="34"/>
      <c r="M1431" s="34"/>
      <c r="N1431" s="410"/>
      <c r="O1431" s="196"/>
      <c r="Q1431" s="35"/>
      <c r="S1431" s="268"/>
    </row>
    <row r="1432" spans="1:19" ht="20.100000000000001" hidden="1" customHeight="1" x14ac:dyDescent="0.25">
      <c r="A1432" s="174"/>
      <c r="B1432" s="174"/>
      <c r="C1432" s="174"/>
      <c r="D1432" s="174"/>
      <c r="E1432" s="171"/>
      <c r="F1432" s="38" t="s">
        <v>125</v>
      </c>
      <c r="G1432" s="181" t="s">
        <v>466</v>
      </c>
      <c r="H1432" s="38" t="s">
        <v>124</v>
      </c>
      <c r="I1432" s="282">
        <v>0</v>
      </c>
      <c r="J1432" s="282">
        <v>0</v>
      </c>
      <c r="K1432" s="282">
        <f>I1432+J1432</f>
        <v>0</v>
      </c>
      <c r="L1432" s="34"/>
      <c r="M1432" s="34"/>
      <c r="N1432" s="410"/>
      <c r="O1432" s="196"/>
      <c r="Q1432" s="35"/>
      <c r="S1432" s="268"/>
    </row>
    <row r="1433" spans="1:19" ht="27.75" hidden="1" customHeight="1" x14ac:dyDescent="0.25">
      <c r="A1433" s="174"/>
      <c r="B1433" s="174"/>
      <c r="C1433" s="174"/>
      <c r="D1433" s="174"/>
      <c r="E1433" s="171" t="s">
        <v>126</v>
      </c>
      <c r="F1433" s="38"/>
      <c r="G1433" s="181" t="s">
        <v>466</v>
      </c>
      <c r="H1433" s="38" t="s">
        <v>127</v>
      </c>
      <c r="I1433" s="282">
        <f>I1434</f>
        <v>120</v>
      </c>
      <c r="J1433" s="282">
        <f>J1434</f>
        <v>0</v>
      </c>
      <c r="K1433" s="282">
        <f>K1434</f>
        <v>120</v>
      </c>
      <c r="L1433" s="39">
        <f t="shared" ref="L1433:M1433" si="243">L1434</f>
        <v>100</v>
      </c>
      <c r="M1433" s="39">
        <f t="shared" si="243"/>
        <v>100</v>
      </c>
      <c r="N1433" s="410"/>
      <c r="O1433" s="196"/>
      <c r="Q1433" s="35"/>
      <c r="S1433" s="268"/>
    </row>
    <row r="1434" spans="1:19" ht="20.100000000000001" hidden="1" customHeight="1" x14ac:dyDescent="0.25">
      <c r="A1434" s="174"/>
      <c r="B1434" s="174"/>
      <c r="C1434" s="174"/>
      <c r="D1434" s="174"/>
      <c r="E1434" s="171"/>
      <c r="F1434" s="38" t="s">
        <v>128</v>
      </c>
      <c r="G1434" s="181" t="s">
        <v>466</v>
      </c>
      <c r="H1434" s="38" t="s">
        <v>127</v>
      </c>
      <c r="I1434" s="282">
        <v>120</v>
      </c>
      <c r="J1434" s="282">
        <f>K1434-I1434</f>
        <v>0</v>
      </c>
      <c r="K1434" s="282">
        <v>120</v>
      </c>
      <c r="L1434" s="34">
        <v>100</v>
      </c>
      <c r="M1434" s="34">
        <v>100</v>
      </c>
      <c r="N1434" s="410"/>
      <c r="O1434" s="196"/>
      <c r="Q1434" s="35"/>
      <c r="S1434" s="268"/>
    </row>
    <row r="1435" spans="1:19" ht="20.100000000000001" hidden="1" customHeight="1" x14ac:dyDescent="0.25">
      <c r="A1435" s="174"/>
      <c r="B1435" s="174"/>
      <c r="C1435" s="174"/>
      <c r="D1435" s="174"/>
      <c r="E1435" s="171" t="s">
        <v>129</v>
      </c>
      <c r="F1435" s="38"/>
      <c r="G1435" s="181" t="s">
        <v>466</v>
      </c>
      <c r="H1435" s="38" t="s">
        <v>130</v>
      </c>
      <c r="I1435" s="282">
        <f>I1436</f>
        <v>130</v>
      </c>
      <c r="J1435" s="282">
        <f>J1436</f>
        <v>0</v>
      </c>
      <c r="K1435" s="282">
        <f>K1436</f>
        <v>130</v>
      </c>
      <c r="L1435" s="39">
        <f t="shared" ref="L1435:M1435" si="244">L1436</f>
        <v>100</v>
      </c>
      <c r="M1435" s="39">
        <f t="shared" si="244"/>
        <v>100</v>
      </c>
      <c r="N1435" s="410"/>
      <c r="O1435" s="196"/>
      <c r="Q1435" s="35"/>
      <c r="S1435" s="268"/>
    </row>
    <row r="1436" spans="1:19" ht="20.100000000000001" hidden="1" customHeight="1" x14ac:dyDescent="0.25">
      <c r="A1436" s="174"/>
      <c r="B1436" s="174"/>
      <c r="C1436" s="174"/>
      <c r="D1436" s="174"/>
      <c r="E1436" s="171"/>
      <c r="F1436" s="38" t="s">
        <v>131</v>
      </c>
      <c r="G1436" s="181" t="s">
        <v>466</v>
      </c>
      <c r="H1436" s="38" t="s">
        <v>130</v>
      </c>
      <c r="I1436" s="282">
        <v>130</v>
      </c>
      <c r="J1436" s="282">
        <f>K1436-I1436</f>
        <v>0</v>
      </c>
      <c r="K1436" s="282">
        <v>130</v>
      </c>
      <c r="L1436" s="39">
        <v>100</v>
      </c>
      <c r="M1436" s="39">
        <v>100</v>
      </c>
      <c r="N1436" s="410"/>
      <c r="O1436" s="196"/>
      <c r="Q1436" s="35"/>
      <c r="S1436" s="268"/>
    </row>
    <row r="1437" spans="1:19" ht="20.100000000000001" hidden="1" customHeight="1" x14ac:dyDescent="0.25">
      <c r="A1437" s="174"/>
      <c r="B1437" s="174"/>
      <c r="C1437" s="174"/>
      <c r="D1437" s="174">
        <v>3222</v>
      </c>
      <c r="E1437" s="171"/>
      <c r="F1437" s="38"/>
      <c r="G1437" s="181" t="s">
        <v>466</v>
      </c>
      <c r="H1437" s="38" t="s">
        <v>29</v>
      </c>
      <c r="I1437" s="282">
        <f>I1438+I1440</f>
        <v>80</v>
      </c>
      <c r="J1437" s="282">
        <f>J1438+J1440</f>
        <v>0</v>
      </c>
      <c r="K1437" s="282">
        <f>K1438+K1440</f>
        <v>80</v>
      </c>
      <c r="L1437" s="39">
        <f t="shared" ref="L1437:M1437" si="245">L1438+L1440</f>
        <v>300</v>
      </c>
      <c r="M1437" s="39">
        <f t="shared" si="245"/>
        <v>300</v>
      </c>
      <c r="N1437" s="410"/>
      <c r="O1437" s="196"/>
      <c r="Q1437" s="35"/>
      <c r="S1437" s="268"/>
    </row>
    <row r="1438" spans="1:19" ht="20.100000000000001" hidden="1" customHeight="1" x14ac:dyDescent="0.25">
      <c r="A1438" s="174"/>
      <c r="B1438" s="174"/>
      <c r="C1438" s="174"/>
      <c r="D1438" s="174"/>
      <c r="E1438" s="171" t="s">
        <v>135</v>
      </c>
      <c r="F1438" s="38"/>
      <c r="G1438" s="181" t="s">
        <v>466</v>
      </c>
      <c r="H1438" s="38" t="s">
        <v>136</v>
      </c>
      <c r="I1438" s="282">
        <f>I1439</f>
        <v>0</v>
      </c>
      <c r="J1438" s="282">
        <f>J1439</f>
        <v>0</v>
      </c>
      <c r="K1438" s="282">
        <f>K1439</f>
        <v>0</v>
      </c>
      <c r="L1438" s="39">
        <f t="shared" ref="L1438:M1438" si="246">L1439</f>
        <v>0</v>
      </c>
      <c r="M1438" s="39">
        <f t="shared" si="246"/>
        <v>0</v>
      </c>
      <c r="N1438" s="410"/>
      <c r="O1438" s="196"/>
      <c r="Q1438" s="35"/>
      <c r="S1438" s="268"/>
    </row>
    <row r="1439" spans="1:19" ht="20.100000000000001" hidden="1" customHeight="1" x14ac:dyDescent="0.25">
      <c r="A1439" s="174"/>
      <c r="B1439" s="174"/>
      <c r="C1439" s="174"/>
      <c r="D1439" s="174"/>
      <c r="E1439" s="171"/>
      <c r="F1439" s="38" t="s">
        <v>137</v>
      </c>
      <c r="G1439" s="181" t="s">
        <v>466</v>
      </c>
      <c r="H1439" s="38" t="s">
        <v>136</v>
      </c>
      <c r="I1439" s="282">
        <v>0</v>
      </c>
      <c r="J1439" s="282">
        <v>0</v>
      </c>
      <c r="K1439" s="282">
        <f>I1439+J1439</f>
        <v>0</v>
      </c>
      <c r="L1439" s="34">
        <v>0</v>
      </c>
      <c r="M1439" s="34">
        <v>0</v>
      </c>
      <c r="N1439" s="410"/>
      <c r="O1439" s="196"/>
      <c r="Q1439" s="35"/>
      <c r="S1439" s="268"/>
    </row>
    <row r="1440" spans="1:19" ht="20.100000000000001" hidden="1" customHeight="1" x14ac:dyDescent="0.25">
      <c r="A1440" s="174"/>
      <c r="B1440" s="174"/>
      <c r="C1440" s="174"/>
      <c r="D1440" s="174"/>
      <c r="E1440" s="171" t="s">
        <v>138</v>
      </c>
      <c r="F1440" s="38"/>
      <c r="G1440" s="181" t="s">
        <v>466</v>
      </c>
      <c r="H1440" s="38" t="s">
        <v>139</v>
      </c>
      <c r="I1440" s="282">
        <f>I1441</f>
        <v>80</v>
      </c>
      <c r="J1440" s="282">
        <f>J1441</f>
        <v>0</v>
      </c>
      <c r="K1440" s="282">
        <f>K1441</f>
        <v>80</v>
      </c>
      <c r="L1440" s="39">
        <f t="shared" ref="L1440:M1440" si="247">L1441</f>
        <v>300</v>
      </c>
      <c r="M1440" s="39">
        <f t="shared" si="247"/>
        <v>300</v>
      </c>
      <c r="N1440" s="410"/>
      <c r="O1440" s="196"/>
      <c r="Q1440" s="35"/>
      <c r="S1440" s="268"/>
    </row>
    <row r="1441" spans="1:19" ht="20.100000000000001" hidden="1" customHeight="1" x14ac:dyDescent="0.25">
      <c r="A1441" s="174"/>
      <c r="B1441" s="174"/>
      <c r="C1441" s="174"/>
      <c r="D1441" s="174"/>
      <c r="E1441" s="171"/>
      <c r="F1441" s="38" t="s">
        <v>140</v>
      </c>
      <c r="G1441" s="181" t="s">
        <v>466</v>
      </c>
      <c r="H1441" s="38" t="s">
        <v>139</v>
      </c>
      <c r="I1441" s="282">
        <v>80</v>
      </c>
      <c r="J1441" s="282">
        <f>K1441-I1441</f>
        <v>0</v>
      </c>
      <c r="K1441" s="282">
        <v>80</v>
      </c>
      <c r="L1441" s="34">
        <v>300</v>
      </c>
      <c r="M1441" s="34">
        <v>300</v>
      </c>
      <c r="N1441" s="410"/>
      <c r="O1441" s="196"/>
      <c r="Q1441" s="35"/>
      <c r="S1441" s="268"/>
    </row>
    <row r="1442" spans="1:19" ht="20.100000000000001" hidden="1" customHeight="1" x14ac:dyDescent="0.25">
      <c r="A1442" s="174"/>
      <c r="B1442" s="174"/>
      <c r="C1442" s="174"/>
      <c r="D1442" s="174">
        <v>3223</v>
      </c>
      <c r="E1442" s="171"/>
      <c r="F1442" s="38"/>
      <c r="G1442" s="181" t="s">
        <v>466</v>
      </c>
      <c r="H1442" s="38" t="s">
        <v>30</v>
      </c>
      <c r="I1442" s="282">
        <f>I1443+I1446</f>
        <v>950</v>
      </c>
      <c r="J1442" s="282">
        <f>J1443+J1446</f>
        <v>0</v>
      </c>
      <c r="K1442" s="282">
        <f>K1443+K1446</f>
        <v>950</v>
      </c>
      <c r="L1442" s="39">
        <f t="shared" ref="L1442:M1442" si="248">L1443+L1446</f>
        <v>2500</v>
      </c>
      <c r="M1442" s="39">
        <f t="shared" si="248"/>
        <v>2500</v>
      </c>
      <c r="N1442" s="410"/>
      <c r="O1442" s="196"/>
      <c r="Q1442" s="35"/>
      <c r="S1442" s="268"/>
    </row>
    <row r="1443" spans="1:19" ht="20.100000000000001" hidden="1" customHeight="1" x14ac:dyDescent="0.25">
      <c r="A1443" s="174"/>
      <c r="B1443" s="174"/>
      <c r="C1443" s="174"/>
      <c r="D1443" s="174"/>
      <c r="E1443" s="171" t="s">
        <v>141</v>
      </c>
      <c r="F1443" s="38"/>
      <c r="G1443" s="181" t="s">
        <v>466</v>
      </c>
      <c r="H1443" s="38" t="s">
        <v>142</v>
      </c>
      <c r="I1443" s="282">
        <f>I1444+I1445</f>
        <v>700</v>
      </c>
      <c r="J1443" s="282">
        <f>J1444+J1445</f>
        <v>0</v>
      </c>
      <c r="K1443" s="282">
        <f>K1444+K1445</f>
        <v>700</v>
      </c>
      <c r="L1443" s="39">
        <f t="shared" ref="L1443:M1443" si="249">L1444+L1445</f>
        <v>1500</v>
      </c>
      <c r="M1443" s="39">
        <f t="shared" si="249"/>
        <v>1500</v>
      </c>
      <c r="N1443" s="410"/>
      <c r="O1443" s="196"/>
      <c r="Q1443" s="35"/>
      <c r="S1443" s="268"/>
    </row>
    <row r="1444" spans="1:19" ht="20.100000000000001" hidden="1" customHeight="1" x14ac:dyDescent="0.25">
      <c r="A1444" s="174"/>
      <c r="B1444" s="174"/>
      <c r="C1444" s="174"/>
      <c r="D1444" s="174"/>
      <c r="E1444" s="171"/>
      <c r="F1444" s="38" t="s">
        <v>143</v>
      </c>
      <c r="G1444" s="181" t="s">
        <v>466</v>
      </c>
      <c r="H1444" s="38" t="s">
        <v>142</v>
      </c>
      <c r="I1444" s="282">
        <v>320</v>
      </c>
      <c r="J1444" s="282">
        <f>K1444-I1444</f>
        <v>0</v>
      </c>
      <c r="K1444" s="282">
        <v>320</v>
      </c>
      <c r="L1444" s="34">
        <v>700</v>
      </c>
      <c r="M1444" s="34">
        <v>700</v>
      </c>
      <c r="N1444" s="410"/>
      <c r="O1444" s="196"/>
      <c r="Q1444" s="35"/>
      <c r="S1444" s="268"/>
    </row>
    <row r="1445" spans="1:19" ht="20.100000000000001" hidden="1" customHeight="1" x14ac:dyDescent="0.25">
      <c r="A1445" s="174"/>
      <c r="B1445" s="174"/>
      <c r="C1445" s="174"/>
      <c r="D1445" s="174"/>
      <c r="E1445" s="171"/>
      <c r="F1445" s="38" t="s">
        <v>144</v>
      </c>
      <c r="G1445" s="181" t="s">
        <v>466</v>
      </c>
      <c r="H1445" s="38" t="s">
        <v>145</v>
      </c>
      <c r="I1445" s="282">
        <v>380</v>
      </c>
      <c r="J1445" s="282">
        <f>K1445-I1445</f>
        <v>0</v>
      </c>
      <c r="K1445" s="282">
        <v>380</v>
      </c>
      <c r="L1445" s="34">
        <v>800</v>
      </c>
      <c r="M1445" s="34">
        <v>800</v>
      </c>
      <c r="N1445" s="410"/>
      <c r="O1445" s="196"/>
      <c r="Q1445" s="35"/>
      <c r="S1445" s="268"/>
    </row>
    <row r="1446" spans="1:19" ht="20.100000000000001" hidden="1" customHeight="1" x14ac:dyDescent="0.25">
      <c r="A1446" s="174"/>
      <c r="B1446" s="174"/>
      <c r="C1446" s="174"/>
      <c r="D1446" s="174"/>
      <c r="E1446" s="171" t="s">
        <v>146</v>
      </c>
      <c r="F1446" s="38"/>
      <c r="G1446" s="181" t="s">
        <v>466</v>
      </c>
      <c r="H1446" s="38" t="s">
        <v>147</v>
      </c>
      <c r="I1446" s="282">
        <f>I1447</f>
        <v>250</v>
      </c>
      <c r="J1446" s="282">
        <f>J1447</f>
        <v>0</v>
      </c>
      <c r="K1446" s="282">
        <f>K1447</f>
        <v>250</v>
      </c>
      <c r="L1446" s="39">
        <f t="shared" ref="L1446:M1446" si="250">L1447</f>
        <v>1000</v>
      </c>
      <c r="M1446" s="39">
        <f t="shared" si="250"/>
        <v>1000</v>
      </c>
      <c r="N1446" s="410"/>
      <c r="O1446" s="196"/>
      <c r="Q1446" s="35"/>
      <c r="S1446" s="268"/>
    </row>
    <row r="1447" spans="1:19" ht="20.100000000000001" hidden="1" customHeight="1" x14ac:dyDescent="0.25">
      <c r="A1447" s="174"/>
      <c r="B1447" s="174"/>
      <c r="C1447" s="174"/>
      <c r="D1447" s="174"/>
      <c r="E1447" s="171"/>
      <c r="F1447" s="38" t="s">
        <v>148</v>
      </c>
      <c r="G1447" s="181" t="s">
        <v>466</v>
      </c>
      <c r="H1447" s="38" t="s">
        <v>147</v>
      </c>
      <c r="I1447" s="282">
        <v>250</v>
      </c>
      <c r="J1447" s="282">
        <f>K1447-I1447</f>
        <v>0</v>
      </c>
      <c r="K1447" s="282">
        <v>250</v>
      </c>
      <c r="L1447" s="34">
        <v>1000</v>
      </c>
      <c r="M1447" s="34">
        <v>1000</v>
      </c>
      <c r="N1447" s="410"/>
      <c r="O1447" s="196"/>
      <c r="Q1447" s="35"/>
      <c r="S1447" s="268"/>
    </row>
    <row r="1448" spans="1:19" ht="20.100000000000001" hidden="1" customHeight="1" x14ac:dyDescent="0.25">
      <c r="A1448" s="174"/>
      <c r="B1448" s="174"/>
      <c r="C1448" s="174"/>
      <c r="D1448" s="174"/>
      <c r="E1448" s="171" t="s">
        <v>149</v>
      </c>
      <c r="F1448" s="38"/>
      <c r="G1448" s="181" t="s">
        <v>466</v>
      </c>
      <c r="H1448" s="38" t="s">
        <v>150</v>
      </c>
      <c r="I1448" s="282">
        <v>0</v>
      </c>
      <c r="J1448" s="282">
        <v>0</v>
      </c>
      <c r="K1448" s="282">
        <v>0</v>
      </c>
      <c r="L1448" s="34">
        <v>0</v>
      </c>
      <c r="M1448" s="34">
        <v>0</v>
      </c>
      <c r="N1448" s="410"/>
      <c r="O1448" s="196"/>
      <c r="Q1448" s="35"/>
      <c r="S1448" s="268"/>
    </row>
    <row r="1449" spans="1:19" s="154" customFormat="1" ht="20.100000000000001" hidden="1" customHeight="1" x14ac:dyDescent="0.25">
      <c r="A1449" s="219"/>
      <c r="B1449" s="219"/>
      <c r="C1449" s="172">
        <v>323</v>
      </c>
      <c r="D1449" s="174"/>
      <c r="E1449" s="171"/>
      <c r="F1449" s="38"/>
      <c r="G1449" s="181" t="s">
        <v>466</v>
      </c>
      <c r="H1449" s="43" t="s">
        <v>34</v>
      </c>
      <c r="I1449" s="281">
        <f>I1459+I1462+I1465</f>
        <v>750</v>
      </c>
      <c r="J1449" s="281">
        <f>J1459+J1462+J1465</f>
        <v>-250</v>
      </c>
      <c r="K1449" s="281">
        <f>K1459+K1462+K1465</f>
        <v>500</v>
      </c>
      <c r="L1449" s="151">
        <f t="shared" ref="L1449:M1449" si="251">L1459+L1462+L1465</f>
        <v>12300</v>
      </c>
      <c r="M1449" s="151">
        <f t="shared" si="251"/>
        <v>12300</v>
      </c>
      <c r="N1449" s="410"/>
      <c r="O1449" s="196"/>
      <c r="P1449" s="411"/>
      <c r="Q1449" s="152"/>
      <c r="R1449" s="153"/>
      <c r="S1449" s="153"/>
    </row>
    <row r="1450" spans="1:19" ht="20.100000000000001" hidden="1" customHeight="1" x14ac:dyDescent="0.25">
      <c r="A1450" s="174"/>
      <c r="B1450" s="174"/>
      <c r="C1450" s="174"/>
      <c r="D1450" s="174">
        <v>3231</v>
      </c>
      <c r="E1450" s="171"/>
      <c r="F1450" s="38"/>
      <c r="G1450" s="181" t="s">
        <v>466</v>
      </c>
      <c r="H1450" s="38" t="s">
        <v>166</v>
      </c>
      <c r="I1450" s="282">
        <f t="shared" ref="I1450:M1451" si="252">I1451</f>
        <v>0</v>
      </c>
      <c r="J1450" s="282">
        <f t="shared" si="252"/>
        <v>0</v>
      </c>
      <c r="K1450" s="282">
        <f t="shared" si="252"/>
        <v>0</v>
      </c>
      <c r="L1450" s="34">
        <f t="shared" si="252"/>
        <v>0</v>
      </c>
      <c r="M1450" s="34">
        <f t="shared" si="252"/>
        <v>0</v>
      </c>
      <c r="N1450" s="410"/>
      <c r="O1450" s="196"/>
      <c r="Q1450" s="35"/>
      <c r="S1450" s="268"/>
    </row>
    <row r="1451" spans="1:19" ht="20.100000000000001" hidden="1" customHeight="1" x14ac:dyDescent="0.25">
      <c r="A1451" s="174"/>
      <c r="B1451" s="174"/>
      <c r="C1451" s="174"/>
      <c r="D1451" s="174"/>
      <c r="E1451" s="171" t="s">
        <v>167</v>
      </c>
      <c r="F1451" s="38"/>
      <c r="G1451" s="181" t="s">
        <v>466</v>
      </c>
      <c r="H1451" s="38" t="s">
        <v>168</v>
      </c>
      <c r="I1451" s="282">
        <f t="shared" si="252"/>
        <v>0</v>
      </c>
      <c r="J1451" s="282">
        <f t="shared" si="252"/>
        <v>0</v>
      </c>
      <c r="K1451" s="282">
        <f t="shared" si="252"/>
        <v>0</v>
      </c>
      <c r="L1451" s="34">
        <f t="shared" si="252"/>
        <v>0</v>
      </c>
      <c r="M1451" s="34">
        <f t="shared" si="252"/>
        <v>0</v>
      </c>
      <c r="N1451" s="410"/>
      <c r="O1451" s="196"/>
      <c r="Q1451" s="35"/>
      <c r="S1451" s="268"/>
    </row>
    <row r="1452" spans="1:19" ht="20.100000000000001" hidden="1" customHeight="1" x14ac:dyDescent="0.25">
      <c r="A1452" s="174"/>
      <c r="B1452" s="174"/>
      <c r="C1452" s="174"/>
      <c r="D1452" s="174"/>
      <c r="E1452" s="171"/>
      <c r="F1452" s="38" t="s">
        <v>169</v>
      </c>
      <c r="G1452" s="181" t="s">
        <v>466</v>
      </c>
      <c r="H1452" s="38" t="s">
        <v>168</v>
      </c>
      <c r="I1452" s="282">
        <v>0</v>
      </c>
      <c r="J1452" s="282">
        <v>0</v>
      </c>
      <c r="K1452" s="282">
        <f>I1452+J1452</f>
        <v>0</v>
      </c>
      <c r="L1452" s="34">
        <v>0</v>
      </c>
      <c r="M1452" s="34">
        <v>0</v>
      </c>
      <c r="N1452" s="410"/>
      <c r="O1452" s="196"/>
      <c r="Q1452" s="35"/>
      <c r="S1452" s="268"/>
    </row>
    <row r="1453" spans="1:19" ht="20.100000000000001" hidden="1" customHeight="1" x14ac:dyDescent="0.25">
      <c r="A1453" s="174"/>
      <c r="B1453" s="174"/>
      <c r="C1453" s="174"/>
      <c r="D1453" s="174"/>
      <c r="E1453" s="171" t="s">
        <v>170</v>
      </c>
      <c r="F1453" s="38"/>
      <c r="G1453" s="181" t="s">
        <v>466</v>
      </c>
      <c r="H1453" s="38" t="s">
        <v>171</v>
      </c>
      <c r="I1453" s="282">
        <v>0</v>
      </c>
      <c r="J1453" s="282">
        <v>0</v>
      </c>
      <c r="K1453" s="282">
        <v>0</v>
      </c>
      <c r="L1453" s="34"/>
      <c r="M1453" s="34"/>
      <c r="N1453" s="410"/>
      <c r="O1453" s="196"/>
      <c r="Q1453" s="35"/>
      <c r="S1453" s="268"/>
    </row>
    <row r="1454" spans="1:19" ht="20.100000000000001" hidden="1" customHeight="1" x14ac:dyDescent="0.25">
      <c r="A1454" s="174"/>
      <c r="B1454" s="174"/>
      <c r="C1454" s="174"/>
      <c r="D1454" s="174"/>
      <c r="E1454" s="171"/>
      <c r="F1454" s="38" t="s">
        <v>172</v>
      </c>
      <c r="G1454" s="181" t="s">
        <v>466</v>
      </c>
      <c r="H1454" s="38" t="s">
        <v>171</v>
      </c>
      <c r="I1454" s="282">
        <v>0</v>
      </c>
      <c r="J1454" s="282">
        <v>0</v>
      </c>
      <c r="K1454" s="282">
        <f>I1454+J1454</f>
        <v>0</v>
      </c>
      <c r="L1454" s="34"/>
      <c r="M1454" s="34"/>
      <c r="N1454" s="410"/>
      <c r="O1454" s="196"/>
      <c r="Q1454" s="35"/>
      <c r="S1454" s="268"/>
    </row>
    <row r="1455" spans="1:19" ht="20.100000000000001" hidden="1" customHeight="1" x14ac:dyDescent="0.25">
      <c r="A1455" s="174"/>
      <c r="B1455" s="174"/>
      <c r="C1455" s="174"/>
      <c r="D1455" s="174"/>
      <c r="E1455" s="171" t="s">
        <v>173</v>
      </c>
      <c r="F1455" s="38"/>
      <c r="G1455" s="181" t="s">
        <v>466</v>
      </c>
      <c r="H1455" s="38" t="s">
        <v>174</v>
      </c>
      <c r="I1455" s="282">
        <v>0</v>
      </c>
      <c r="J1455" s="282">
        <v>0</v>
      </c>
      <c r="K1455" s="282">
        <v>0</v>
      </c>
      <c r="L1455" s="34"/>
      <c r="M1455" s="34"/>
      <c r="N1455" s="410"/>
      <c r="O1455" s="196"/>
      <c r="Q1455" s="35"/>
      <c r="S1455" s="268"/>
    </row>
    <row r="1456" spans="1:19" ht="20.100000000000001" hidden="1" customHeight="1" x14ac:dyDescent="0.25">
      <c r="A1456" s="174"/>
      <c r="B1456" s="174"/>
      <c r="C1456" s="174"/>
      <c r="D1456" s="174"/>
      <c r="E1456" s="171"/>
      <c r="F1456" s="38" t="s">
        <v>175</v>
      </c>
      <c r="G1456" s="181" t="s">
        <v>466</v>
      </c>
      <c r="H1456" s="38" t="s">
        <v>174</v>
      </c>
      <c r="I1456" s="282">
        <v>0</v>
      </c>
      <c r="J1456" s="282">
        <v>0</v>
      </c>
      <c r="K1456" s="282">
        <f>I1456+J1456</f>
        <v>0</v>
      </c>
      <c r="L1456" s="34"/>
      <c r="M1456" s="34"/>
      <c r="N1456" s="410"/>
      <c r="O1456" s="196"/>
      <c r="Q1456" s="35"/>
      <c r="S1456" s="268"/>
    </row>
    <row r="1457" spans="1:19" ht="20.100000000000001" hidden="1" customHeight="1" x14ac:dyDescent="0.25">
      <c r="A1457" s="174"/>
      <c r="B1457" s="174"/>
      <c r="C1457" s="174"/>
      <c r="D1457" s="174"/>
      <c r="E1457" s="171" t="s">
        <v>176</v>
      </c>
      <c r="F1457" s="38"/>
      <c r="G1457" s="181" t="s">
        <v>466</v>
      </c>
      <c r="H1457" s="38" t="s">
        <v>177</v>
      </c>
      <c r="I1457" s="282">
        <v>0</v>
      </c>
      <c r="J1457" s="282">
        <v>0</v>
      </c>
      <c r="K1457" s="282">
        <v>0</v>
      </c>
      <c r="L1457" s="34"/>
      <c r="M1457" s="34"/>
      <c r="N1457" s="410"/>
      <c r="O1457" s="196"/>
      <c r="Q1457" s="35"/>
      <c r="S1457" s="268"/>
    </row>
    <row r="1458" spans="1:19" ht="20.100000000000001" hidden="1" customHeight="1" x14ac:dyDescent="0.25">
      <c r="A1458" s="174"/>
      <c r="B1458" s="174"/>
      <c r="C1458" s="174"/>
      <c r="D1458" s="174"/>
      <c r="E1458" s="171"/>
      <c r="F1458" s="38" t="s">
        <v>178</v>
      </c>
      <c r="G1458" s="181" t="s">
        <v>466</v>
      </c>
      <c r="H1458" s="38" t="s">
        <v>177</v>
      </c>
      <c r="I1458" s="282">
        <v>0</v>
      </c>
      <c r="J1458" s="282">
        <v>0</v>
      </c>
      <c r="K1458" s="282">
        <f>I1458+J1458</f>
        <v>0</v>
      </c>
      <c r="L1458" s="34"/>
      <c r="M1458" s="34"/>
      <c r="N1458" s="410"/>
      <c r="O1458" s="196"/>
      <c r="Q1458" s="35"/>
      <c r="S1458" s="268"/>
    </row>
    <row r="1459" spans="1:19" ht="20.100000000000001" hidden="1" customHeight="1" x14ac:dyDescent="0.25">
      <c r="A1459" s="174"/>
      <c r="B1459" s="174"/>
      <c r="C1459" s="174"/>
      <c r="D1459" s="174">
        <v>3232</v>
      </c>
      <c r="E1459" s="171"/>
      <c r="F1459" s="38"/>
      <c r="G1459" s="181" t="s">
        <v>466</v>
      </c>
      <c r="H1459" s="38" t="s">
        <v>36</v>
      </c>
      <c r="I1459" s="282">
        <f t="shared" ref="I1459:M1460" si="253">I1460</f>
        <v>50</v>
      </c>
      <c r="J1459" s="282">
        <f t="shared" si="253"/>
        <v>0</v>
      </c>
      <c r="K1459" s="282">
        <f t="shared" si="253"/>
        <v>50</v>
      </c>
      <c r="L1459" s="39">
        <f t="shared" si="253"/>
        <v>800</v>
      </c>
      <c r="M1459" s="39">
        <f t="shared" si="253"/>
        <v>800</v>
      </c>
      <c r="N1459" s="410"/>
      <c r="O1459" s="196"/>
      <c r="Q1459" s="35"/>
      <c r="S1459" s="268"/>
    </row>
    <row r="1460" spans="1:19" ht="30" hidden="1" customHeight="1" x14ac:dyDescent="0.25">
      <c r="A1460" s="174"/>
      <c r="B1460" s="174"/>
      <c r="C1460" s="174"/>
      <c r="D1460" s="174"/>
      <c r="E1460" s="171" t="s">
        <v>179</v>
      </c>
      <c r="F1460" s="38"/>
      <c r="G1460" s="181" t="s">
        <v>466</v>
      </c>
      <c r="H1460" s="38" t="s">
        <v>180</v>
      </c>
      <c r="I1460" s="282">
        <f t="shared" si="253"/>
        <v>50</v>
      </c>
      <c r="J1460" s="282">
        <f t="shared" si="253"/>
        <v>0</v>
      </c>
      <c r="K1460" s="282">
        <f t="shared" si="253"/>
        <v>50</v>
      </c>
      <c r="L1460" s="39">
        <f t="shared" si="253"/>
        <v>800</v>
      </c>
      <c r="M1460" s="39">
        <f t="shared" si="253"/>
        <v>800</v>
      </c>
      <c r="N1460" s="410"/>
      <c r="O1460" s="196"/>
      <c r="Q1460" s="35"/>
      <c r="S1460" s="268"/>
    </row>
    <row r="1461" spans="1:19" ht="30" hidden="1" customHeight="1" x14ac:dyDescent="0.25">
      <c r="A1461" s="174"/>
      <c r="B1461" s="174"/>
      <c r="C1461" s="174"/>
      <c r="D1461" s="174"/>
      <c r="E1461" s="171"/>
      <c r="F1461" s="38" t="s">
        <v>181</v>
      </c>
      <c r="G1461" s="181" t="s">
        <v>466</v>
      </c>
      <c r="H1461" s="38" t="s">
        <v>180</v>
      </c>
      <c r="I1461" s="282">
        <v>50</v>
      </c>
      <c r="J1461" s="282">
        <f>K1461-I1461</f>
        <v>0</v>
      </c>
      <c r="K1461" s="282">
        <v>50</v>
      </c>
      <c r="L1461" s="34">
        <v>800</v>
      </c>
      <c r="M1461" s="34">
        <v>800</v>
      </c>
      <c r="N1461" s="410"/>
      <c r="O1461" s="196"/>
      <c r="Q1461" s="35"/>
      <c r="S1461" s="268"/>
    </row>
    <row r="1462" spans="1:19" ht="20.100000000000001" hidden="1" customHeight="1" x14ac:dyDescent="0.25">
      <c r="A1462" s="174"/>
      <c r="B1462" s="174"/>
      <c r="C1462" s="174"/>
      <c r="D1462" s="174">
        <v>3233</v>
      </c>
      <c r="E1462" s="171"/>
      <c r="F1462" s="38"/>
      <c r="G1462" s="181" t="s">
        <v>466</v>
      </c>
      <c r="H1462" s="38" t="s">
        <v>37</v>
      </c>
      <c r="I1462" s="282">
        <f t="shared" ref="I1462:M1463" si="254">I1463</f>
        <v>100</v>
      </c>
      <c r="J1462" s="282">
        <f t="shared" si="254"/>
        <v>-100</v>
      </c>
      <c r="K1462" s="282">
        <f t="shared" si="254"/>
        <v>0</v>
      </c>
      <c r="L1462" s="34">
        <f t="shared" si="254"/>
        <v>2500</v>
      </c>
      <c r="M1462" s="34">
        <f t="shared" si="254"/>
        <v>2500</v>
      </c>
      <c r="N1462" s="410"/>
      <c r="O1462" s="196"/>
      <c r="Q1462" s="35"/>
      <c r="S1462" s="268"/>
    </row>
    <row r="1463" spans="1:19" ht="20.100000000000001" hidden="1" customHeight="1" x14ac:dyDescent="0.25">
      <c r="A1463" s="174"/>
      <c r="B1463" s="174"/>
      <c r="C1463" s="174"/>
      <c r="D1463" s="174"/>
      <c r="E1463" s="171" t="s">
        <v>182</v>
      </c>
      <c r="F1463" s="38"/>
      <c r="G1463" s="181" t="s">
        <v>466</v>
      </c>
      <c r="H1463" s="38" t="s">
        <v>183</v>
      </c>
      <c r="I1463" s="282">
        <f t="shared" si="254"/>
        <v>100</v>
      </c>
      <c r="J1463" s="282">
        <f t="shared" si="254"/>
        <v>-100</v>
      </c>
      <c r="K1463" s="282">
        <f t="shared" si="254"/>
        <v>0</v>
      </c>
      <c r="L1463" s="34">
        <f t="shared" si="254"/>
        <v>2500</v>
      </c>
      <c r="M1463" s="34">
        <f t="shared" si="254"/>
        <v>2500</v>
      </c>
      <c r="N1463" s="410"/>
      <c r="O1463" s="196"/>
      <c r="Q1463" s="35"/>
      <c r="S1463" s="268"/>
    </row>
    <row r="1464" spans="1:19" ht="20.100000000000001" hidden="1" customHeight="1" x14ac:dyDescent="0.25">
      <c r="A1464" s="174"/>
      <c r="B1464" s="174"/>
      <c r="C1464" s="174"/>
      <c r="D1464" s="174"/>
      <c r="E1464" s="171"/>
      <c r="F1464" s="38" t="s">
        <v>184</v>
      </c>
      <c r="G1464" s="181" t="s">
        <v>466</v>
      </c>
      <c r="H1464" s="38" t="s">
        <v>183</v>
      </c>
      <c r="I1464" s="282">
        <v>100</v>
      </c>
      <c r="J1464" s="282">
        <f>K1464-I1464</f>
        <v>-100</v>
      </c>
      <c r="K1464" s="282">
        <v>0</v>
      </c>
      <c r="L1464" s="34">
        <v>2500</v>
      </c>
      <c r="M1464" s="34">
        <v>2500</v>
      </c>
      <c r="N1464" s="410"/>
      <c r="O1464" s="196"/>
      <c r="Q1464" s="35"/>
      <c r="S1464" s="268"/>
    </row>
    <row r="1465" spans="1:19" ht="20.100000000000001" hidden="1" customHeight="1" x14ac:dyDescent="0.25">
      <c r="A1465" s="174"/>
      <c r="B1465" s="174"/>
      <c r="C1465" s="174"/>
      <c r="D1465" s="174">
        <v>3237</v>
      </c>
      <c r="E1465" s="174"/>
      <c r="F1465" s="44"/>
      <c r="G1465" s="181" t="s">
        <v>466</v>
      </c>
      <c r="H1465" s="38" t="s">
        <v>208</v>
      </c>
      <c r="I1465" s="282">
        <f t="shared" ref="I1465:M1466" si="255">I1466</f>
        <v>600</v>
      </c>
      <c r="J1465" s="282">
        <f t="shared" si="255"/>
        <v>-150</v>
      </c>
      <c r="K1465" s="282">
        <f t="shared" si="255"/>
        <v>450</v>
      </c>
      <c r="L1465" s="39">
        <f t="shared" si="255"/>
        <v>9000</v>
      </c>
      <c r="M1465" s="39">
        <f t="shared" si="255"/>
        <v>9000</v>
      </c>
      <c r="N1465" s="410"/>
      <c r="O1465" s="196"/>
      <c r="Q1465" s="35"/>
      <c r="S1465" s="268"/>
    </row>
    <row r="1466" spans="1:19" ht="20.100000000000001" hidden="1" customHeight="1" x14ac:dyDescent="0.25">
      <c r="A1466" s="174"/>
      <c r="B1466" s="174"/>
      <c r="C1466" s="174"/>
      <c r="D1466" s="174"/>
      <c r="E1466" s="171" t="s">
        <v>209</v>
      </c>
      <c r="F1466" s="38"/>
      <c r="G1466" s="181" t="s">
        <v>466</v>
      </c>
      <c r="H1466" s="38" t="s">
        <v>210</v>
      </c>
      <c r="I1466" s="282">
        <f t="shared" si="255"/>
        <v>600</v>
      </c>
      <c r="J1466" s="282">
        <f t="shared" si="255"/>
        <v>-150</v>
      </c>
      <c r="K1466" s="282">
        <f t="shared" si="255"/>
        <v>450</v>
      </c>
      <c r="L1466" s="39">
        <f>L1467</f>
        <v>9000</v>
      </c>
      <c r="M1466" s="34">
        <f>M1467</f>
        <v>9000</v>
      </c>
      <c r="N1466" s="410"/>
      <c r="O1466" s="196"/>
      <c r="Q1466" s="35"/>
      <c r="S1466" s="268"/>
    </row>
    <row r="1467" spans="1:19" ht="20.100000000000001" hidden="1" customHeight="1" x14ac:dyDescent="0.25">
      <c r="A1467" s="174"/>
      <c r="B1467" s="174"/>
      <c r="C1467" s="174"/>
      <c r="D1467" s="174"/>
      <c r="E1467" s="171"/>
      <c r="F1467" s="38" t="s">
        <v>211</v>
      </c>
      <c r="G1467" s="181" t="s">
        <v>466</v>
      </c>
      <c r="H1467" s="38" t="s">
        <v>210</v>
      </c>
      <c r="I1467" s="282">
        <v>600</v>
      </c>
      <c r="J1467" s="282">
        <f>K1467-I1467</f>
        <v>-150</v>
      </c>
      <c r="K1467" s="282">
        <v>450</v>
      </c>
      <c r="L1467" s="34">
        <v>9000</v>
      </c>
      <c r="M1467" s="34">
        <v>9000</v>
      </c>
      <c r="N1467" s="410"/>
      <c r="O1467" s="196"/>
      <c r="Q1467" s="35"/>
      <c r="S1467" s="268"/>
    </row>
    <row r="1468" spans="1:19" ht="38.25" hidden="1" x14ac:dyDescent="0.25">
      <c r="A1468" s="334"/>
      <c r="B1468" s="334"/>
      <c r="C1468" s="334"/>
      <c r="D1468" s="334"/>
      <c r="E1468" s="335"/>
      <c r="F1468" s="329"/>
      <c r="G1468" s="336"/>
      <c r="H1468" s="337" t="s">
        <v>459</v>
      </c>
      <c r="I1468" s="338"/>
      <c r="J1468" s="338"/>
      <c r="K1468" s="338"/>
      <c r="L1468" s="34"/>
      <c r="M1468" s="34"/>
      <c r="N1468" s="410"/>
      <c r="O1468" s="196"/>
      <c r="Q1468" s="35"/>
      <c r="S1468" s="268"/>
    </row>
    <row r="1469" spans="1:19" ht="20.100000000000001" hidden="1" customHeight="1" x14ac:dyDescent="0.25">
      <c r="A1469" s="174"/>
      <c r="B1469" s="174"/>
      <c r="C1469" s="174"/>
      <c r="D1469" s="174"/>
      <c r="E1469" s="171"/>
      <c r="F1469" s="38"/>
      <c r="G1469" s="181"/>
      <c r="H1469" s="216" t="s">
        <v>289</v>
      </c>
      <c r="I1469" s="282"/>
      <c r="J1469" s="282"/>
      <c r="K1469" s="282"/>
      <c r="L1469" s="34"/>
      <c r="M1469" s="34"/>
      <c r="N1469" s="410"/>
      <c r="O1469" s="196"/>
      <c r="Q1469" s="35"/>
      <c r="S1469" s="268"/>
    </row>
    <row r="1470" spans="1:19" ht="20.100000000000001" hidden="1" customHeight="1" x14ac:dyDescent="0.25">
      <c r="A1470" s="172">
        <v>4</v>
      </c>
      <c r="B1470" s="174"/>
      <c r="C1470" s="174"/>
      <c r="D1470" s="174"/>
      <c r="E1470" s="171"/>
      <c r="F1470" s="38"/>
      <c r="G1470" s="181"/>
      <c r="H1470" s="43" t="s">
        <v>324</v>
      </c>
      <c r="I1470" s="281">
        <f t="shared" ref="I1470:K1473" si="256">I1471</f>
        <v>0</v>
      </c>
      <c r="J1470" s="281">
        <f t="shared" si="256"/>
        <v>0</v>
      </c>
      <c r="K1470" s="281">
        <f t="shared" si="256"/>
        <v>0</v>
      </c>
      <c r="L1470" s="34"/>
      <c r="M1470" s="34"/>
      <c r="N1470" s="410"/>
      <c r="O1470" s="196"/>
      <c r="Q1470" s="35"/>
      <c r="S1470" s="268"/>
    </row>
    <row r="1471" spans="1:19" ht="25.5" hidden="1" x14ac:dyDescent="0.25">
      <c r="A1471" s="228"/>
      <c r="B1471" s="172">
        <v>42</v>
      </c>
      <c r="C1471" s="172"/>
      <c r="D1471" s="228"/>
      <c r="E1471" s="228"/>
      <c r="F1471" s="229"/>
      <c r="G1471" s="230"/>
      <c r="H1471" s="43" t="s">
        <v>63</v>
      </c>
      <c r="I1471" s="281">
        <f t="shared" si="256"/>
        <v>0</v>
      </c>
      <c r="J1471" s="281">
        <f t="shared" si="256"/>
        <v>0</v>
      </c>
      <c r="K1471" s="281">
        <f t="shared" si="256"/>
        <v>0</v>
      </c>
      <c r="L1471" s="34"/>
      <c r="M1471" s="34"/>
      <c r="N1471" s="410"/>
      <c r="O1471" s="196"/>
      <c r="Q1471" s="35"/>
      <c r="S1471" s="268"/>
    </row>
    <row r="1472" spans="1:19" ht="20.100000000000001" hidden="1" customHeight="1" x14ac:dyDescent="0.25">
      <c r="A1472" s="228"/>
      <c r="B1472" s="172"/>
      <c r="C1472" s="172">
        <v>422</v>
      </c>
      <c r="D1472" s="228"/>
      <c r="E1472" s="228"/>
      <c r="F1472" s="229"/>
      <c r="G1472" s="230"/>
      <c r="H1472" s="43" t="s">
        <v>64</v>
      </c>
      <c r="I1472" s="281">
        <f t="shared" si="256"/>
        <v>0</v>
      </c>
      <c r="J1472" s="281">
        <f t="shared" si="256"/>
        <v>0</v>
      </c>
      <c r="K1472" s="281">
        <f t="shared" si="256"/>
        <v>0</v>
      </c>
      <c r="L1472" s="34"/>
      <c r="M1472" s="34"/>
      <c r="N1472" s="410"/>
      <c r="O1472" s="196"/>
      <c r="Q1472" s="35"/>
      <c r="S1472" s="268"/>
    </row>
    <row r="1473" spans="1:19" ht="20.100000000000001" hidden="1" customHeight="1" x14ac:dyDescent="0.25">
      <c r="A1473" s="237"/>
      <c r="B1473" s="237"/>
      <c r="C1473" s="237"/>
      <c r="D1473" s="171">
        <v>4224</v>
      </c>
      <c r="E1473" s="171"/>
      <c r="F1473" s="38"/>
      <c r="G1473" s="181" t="s">
        <v>466</v>
      </c>
      <c r="H1473" s="38" t="s">
        <v>66</v>
      </c>
      <c r="I1473" s="282">
        <f t="shared" si="256"/>
        <v>0</v>
      </c>
      <c r="J1473" s="282">
        <f t="shared" si="256"/>
        <v>0</v>
      </c>
      <c r="K1473" s="282">
        <f t="shared" si="256"/>
        <v>0</v>
      </c>
      <c r="L1473" s="34"/>
      <c r="M1473" s="34"/>
      <c r="N1473" s="410"/>
      <c r="O1473" s="196"/>
      <c r="Q1473" s="35"/>
      <c r="S1473" s="268"/>
    </row>
    <row r="1474" spans="1:19" ht="20.100000000000001" hidden="1" customHeight="1" x14ac:dyDescent="0.25">
      <c r="A1474" s="237"/>
      <c r="B1474" s="237"/>
      <c r="C1474" s="237"/>
      <c r="D1474" s="171"/>
      <c r="E1474" s="171" t="s">
        <v>334</v>
      </c>
      <c r="F1474" s="38"/>
      <c r="G1474" s="181" t="s">
        <v>466</v>
      </c>
      <c r="H1474" s="38" t="s">
        <v>335</v>
      </c>
      <c r="I1474" s="282">
        <v>0</v>
      </c>
      <c r="J1474" s="282">
        <f>K1474-I1474</f>
        <v>0</v>
      </c>
      <c r="K1474" s="282">
        <v>0</v>
      </c>
      <c r="L1474" s="34"/>
      <c r="M1474" s="34"/>
      <c r="N1474" s="410"/>
      <c r="O1474" s="196"/>
      <c r="Q1474" s="35"/>
      <c r="S1474" s="268"/>
    </row>
    <row r="1475" spans="1:19" ht="20.100000000000001" hidden="1" customHeight="1" x14ac:dyDescent="0.25">
      <c r="A1475" s="237"/>
      <c r="B1475" s="237"/>
      <c r="C1475" s="237"/>
      <c r="D1475" s="171"/>
      <c r="E1475" s="171"/>
      <c r="F1475" s="38" t="s">
        <v>336</v>
      </c>
      <c r="G1475" s="230">
        <v>31</v>
      </c>
      <c r="H1475" s="38" t="s">
        <v>335</v>
      </c>
      <c r="I1475" s="282">
        <v>0</v>
      </c>
      <c r="J1475" s="282">
        <f>K1475-I1475</f>
        <v>0</v>
      </c>
      <c r="K1475" s="282">
        <v>0</v>
      </c>
      <c r="L1475" s="34"/>
      <c r="M1475" s="34"/>
      <c r="N1475" s="410"/>
      <c r="O1475" s="196"/>
      <c r="Q1475" s="35"/>
      <c r="S1475" s="268"/>
    </row>
    <row r="1476" spans="1:19" ht="20.100000000000001" customHeight="1" x14ac:dyDescent="0.25">
      <c r="A1476" s="239"/>
      <c r="B1476" s="239"/>
      <c r="C1476" s="239"/>
      <c r="D1476" s="239"/>
      <c r="E1476" s="239"/>
      <c r="F1476" s="239"/>
      <c r="G1476" s="239"/>
      <c r="H1476" s="240" t="s">
        <v>541</v>
      </c>
      <c r="I1476" s="239"/>
      <c r="J1476" s="239"/>
      <c r="K1476" s="239"/>
      <c r="L1476" s="34"/>
      <c r="M1476" s="34"/>
      <c r="N1476" s="410"/>
      <c r="O1476" s="196"/>
      <c r="Q1476" s="35"/>
      <c r="S1476" s="268"/>
    </row>
    <row r="1477" spans="1:19" ht="20.100000000000001" customHeight="1" x14ac:dyDescent="0.25">
      <c r="A1477" s="312"/>
      <c r="B1477" s="312"/>
      <c r="C1477" s="312"/>
      <c r="D1477" s="313"/>
      <c r="E1477" s="312"/>
      <c r="F1477" s="312"/>
      <c r="G1477" s="314"/>
      <c r="H1477" s="315" t="s">
        <v>288</v>
      </c>
      <c r="I1477" s="316"/>
      <c r="J1477" s="316"/>
      <c r="K1477" s="316"/>
      <c r="L1477" s="34"/>
      <c r="M1477" s="34"/>
      <c r="N1477" s="410"/>
      <c r="O1477" s="196"/>
      <c r="Q1477" s="35"/>
      <c r="S1477" s="268"/>
    </row>
    <row r="1478" spans="1:19" ht="20.100000000000001" customHeight="1" x14ac:dyDescent="0.25">
      <c r="A1478" s="317">
        <v>3</v>
      </c>
      <c r="B1478" s="317"/>
      <c r="C1478" s="317"/>
      <c r="D1478" s="42"/>
      <c r="E1478" s="317"/>
      <c r="F1478" s="317"/>
      <c r="G1478" s="318"/>
      <c r="H1478" s="319" t="s">
        <v>81</v>
      </c>
      <c r="I1478" s="281">
        <f t="shared" ref="I1478:K1478" si="257">I1479+I1497</f>
        <v>106000</v>
      </c>
      <c r="J1478" s="281">
        <f t="shared" si="257"/>
        <v>0</v>
      </c>
      <c r="K1478" s="281">
        <f t="shared" si="257"/>
        <v>106000</v>
      </c>
      <c r="L1478" s="34"/>
      <c r="M1478" s="34"/>
      <c r="N1478" s="410"/>
      <c r="O1478" s="196"/>
      <c r="Q1478" s="35"/>
      <c r="S1478" s="268"/>
    </row>
    <row r="1479" spans="1:19" ht="20.100000000000001" customHeight="1" x14ac:dyDescent="0.25">
      <c r="A1479" s="317"/>
      <c r="B1479" s="317">
        <v>31</v>
      </c>
      <c r="C1479" s="317"/>
      <c r="D1479" s="42"/>
      <c r="E1479" s="317"/>
      <c r="F1479" s="317"/>
      <c r="G1479" s="321" t="s">
        <v>513</v>
      </c>
      <c r="H1479" s="319" t="s">
        <v>13</v>
      </c>
      <c r="I1479" s="365">
        <f t="shared" ref="I1479:K1479" si="258">I1480+I1487+I1493</f>
        <v>93100</v>
      </c>
      <c r="J1479" s="281">
        <f t="shared" si="258"/>
        <v>0</v>
      </c>
      <c r="K1479" s="365">
        <f t="shared" si="258"/>
        <v>93100</v>
      </c>
      <c r="L1479" s="34"/>
      <c r="M1479" s="34"/>
      <c r="N1479" s="410"/>
      <c r="O1479" s="196"/>
      <c r="Q1479" s="35"/>
      <c r="S1479" s="268"/>
    </row>
    <row r="1480" spans="1:19" ht="20.100000000000001" hidden="1" customHeight="1" x14ac:dyDescent="0.25">
      <c r="A1480" s="317"/>
      <c r="B1480" s="317"/>
      <c r="C1480" s="317">
        <v>311</v>
      </c>
      <c r="D1480" s="42"/>
      <c r="E1480" s="317"/>
      <c r="F1480" s="317"/>
      <c r="G1480" s="321" t="s">
        <v>513</v>
      </c>
      <c r="H1480" s="319" t="s">
        <v>14</v>
      </c>
      <c r="I1480" s="365">
        <f t="shared" ref="I1480:K1480" si="259">I1481+I1484</f>
        <v>79100</v>
      </c>
      <c r="J1480" s="281">
        <f t="shared" si="259"/>
        <v>0</v>
      </c>
      <c r="K1480" s="365">
        <f t="shared" si="259"/>
        <v>79100</v>
      </c>
      <c r="L1480" s="34"/>
      <c r="M1480" s="34"/>
      <c r="N1480" s="410"/>
      <c r="O1480" s="196"/>
      <c r="Q1480" s="35"/>
      <c r="S1480" s="268"/>
    </row>
    <row r="1481" spans="1:19" ht="20.100000000000001" hidden="1" customHeight="1" x14ac:dyDescent="0.25">
      <c r="A1481" s="320"/>
      <c r="B1481" s="320"/>
      <c r="C1481" s="320"/>
      <c r="D1481" s="44">
        <v>3111</v>
      </c>
      <c r="E1481" s="320"/>
      <c r="F1481" s="320"/>
      <c r="G1481" s="321" t="s">
        <v>513</v>
      </c>
      <c r="H1481" s="322" t="s">
        <v>15</v>
      </c>
      <c r="I1481" s="366">
        <f t="shared" ref="I1481:K1482" si="260">I1482</f>
        <v>71700</v>
      </c>
      <c r="J1481" s="282">
        <f t="shared" si="260"/>
        <v>0</v>
      </c>
      <c r="K1481" s="366">
        <f t="shared" si="260"/>
        <v>71700</v>
      </c>
      <c r="L1481" s="34"/>
      <c r="M1481" s="34"/>
      <c r="N1481" s="410"/>
      <c r="O1481" s="196"/>
      <c r="Q1481" s="35"/>
      <c r="S1481" s="268"/>
    </row>
    <row r="1482" spans="1:19" ht="20.100000000000001" hidden="1" customHeight="1" x14ac:dyDescent="0.25">
      <c r="A1482" s="320"/>
      <c r="B1482" s="320"/>
      <c r="C1482" s="320"/>
      <c r="D1482" s="44"/>
      <c r="E1482" s="38" t="s">
        <v>290</v>
      </c>
      <c r="F1482" s="38"/>
      <c r="G1482" s="321" t="s">
        <v>513</v>
      </c>
      <c r="H1482" s="38" t="s">
        <v>291</v>
      </c>
      <c r="I1482" s="366">
        <f t="shared" si="260"/>
        <v>71700</v>
      </c>
      <c r="J1482" s="282">
        <f t="shared" si="260"/>
        <v>0</v>
      </c>
      <c r="K1482" s="366">
        <f t="shared" si="260"/>
        <v>71700</v>
      </c>
      <c r="L1482" s="34"/>
      <c r="M1482" s="34"/>
      <c r="N1482" s="410"/>
      <c r="O1482" s="196"/>
      <c r="Q1482" s="35"/>
      <c r="S1482" s="268"/>
    </row>
    <row r="1483" spans="1:19" ht="20.100000000000001" hidden="1" customHeight="1" x14ac:dyDescent="0.25">
      <c r="A1483" s="257"/>
      <c r="B1483" s="324"/>
      <c r="C1483" s="320"/>
      <c r="D1483" s="44"/>
      <c r="E1483" s="38"/>
      <c r="F1483" s="38" t="s">
        <v>292</v>
      </c>
      <c r="G1483" s="321" t="s">
        <v>513</v>
      </c>
      <c r="H1483" s="38" t="s">
        <v>349</v>
      </c>
      <c r="I1483" s="366">
        <v>71700</v>
      </c>
      <c r="J1483" s="282">
        <f>K1483-I1483</f>
        <v>0</v>
      </c>
      <c r="K1483" s="282">
        <v>71700</v>
      </c>
      <c r="L1483" s="34"/>
      <c r="M1483" s="34"/>
      <c r="N1483" s="410"/>
      <c r="O1483" s="196"/>
      <c r="Q1483" s="35"/>
      <c r="S1483" s="268"/>
    </row>
    <row r="1484" spans="1:19" ht="20.100000000000001" hidden="1" customHeight="1" x14ac:dyDescent="0.25">
      <c r="A1484" s="320"/>
      <c r="B1484" s="320"/>
      <c r="C1484" s="320"/>
      <c r="D1484" s="44">
        <v>3114</v>
      </c>
      <c r="E1484" s="320"/>
      <c r="F1484" s="320"/>
      <c r="G1484" s="321" t="s">
        <v>513</v>
      </c>
      <c r="H1484" s="322" t="s">
        <v>17</v>
      </c>
      <c r="I1484" s="366">
        <f t="shared" ref="I1484:K1485" si="261">I1485</f>
        <v>7400</v>
      </c>
      <c r="J1484" s="282">
        <f t="shared" si="261"/>
        <v>0</v>
      </c>
      <c r="K1484" s="366">
        <f t="shared" si="261"/>
        <v>7400</v>
      </c>
      <c r="L1484" s="34"/>
      <c r="M1484" s="34"/>
      <c r="N1484" s="410"/>
      <c r="O1484" s="196"/>
      <c r="Q1484" s="35"/>
      <c r="S1484" s="268"/>
    </row>
    <row r="1485" spans="1:19" ht="20.100000000000001" hidden="1" customHeight="1" x14ac:dyDescent="0.25">
      <c r="A1485" s="320"/>
      <c r="B1485" s="320"/>
      <c r="C1485" s="320"/>
      <c r="D1485" s="44"/>
      <c r="E1485" s="38" t="s">
        <v>295</v>
      </c>
      <c r="F1485" s="38"/>
      <c r="G1485" s="321" t="s">
        <v>513</v>
      </c>
      <c r="H1485" s="38" t="s">
        <v>17</v>
      </c>
      <c r="I1485" s="366">
        <f t="shared" si="261"/>
        <v>7400</v>
      </c>
      <c r="J1485" s="282">
        <f t="shared" si="261"/>
        <v>0</v>
      </c>
      <c r="K1485" s="366">
        <f t="shared" si="261"/>
        <v>7400</v>
      </c>
      <c r="L1485" s="34"/>
      <c r="M1485" s="34"/>
      <c r="N1485" s="410"/>
      <c r="O1485" s="196"/>
      <c r="Q1485" s="35"/>
      <c r="S1485" s="268"/>
    </row>
    <row r="1486" spans="1:19" ht="20.100000000000001" hidden="1" customHeight="1" x14ac:dyDescent="0.25">
      <c r="A1486" s="257"/>
      <c r="B1486" s="324"/>
      <c r="C1486" s="320"/>
      <c r="D1486" s="44"/>
      <c r="E1486" s="38"/>
      <c r="F1486" s="38" t="s">
        <v>296</v>
      </c>
      <c r="G1486" s="321" t="s">
        <v>513</v>
      </c>
      <c r="H1486" s="38" t="s">
        <v>17</v>
      </c>
      <c r="I1486" s="366">
        <v>7400</v>
      </c>
      <c r="J1486" s="282">
        <f>K1486-I1486</f>
        <v>0</v>
      </c>
      <c r="K1486" s="282">
        <v>7400</v>
      </c>
      <c r="L1486" s="34"/>
      <c r="M1486" s="34"/>
      <c r="N1486" s="410"/>
      <c r="O1486" s="196"/>
      <c r="Q1486" s="35"/>
      <c r="S1486" s="268"/>
    </row>
    <row r="1487" spans="1:19" ht="20.100000000000001" hidden="1" customHeight="1" x14ac:dyDescent="0.25">
      <c r="A1487" s="317"/>
      <c r="B1487" s="317"/>
      <c r="C1487" s="317">
        <v>312</v>
      </c>
      <c r="D1487" s="42"/>
      <c r="E1487" s="317"/>
      <c r="F1487" s="317"/>
      <c r="G1487" s="321" t="s">
        <v>513</v>
      </c>
      <c r="H1487" s="319" t="s">
        <v>18</v>
      </c>
      <c r="I1487" s="281">
        <f t="shared" ref="I1487:K1487" si="262">I1488</f>
        <v>2000</v>
      </c>
      <c r="J1487" s="281">
        <f t="shared" si="262"/>
        <v>0</v>
      </c>
      <c r="K1487" s="281">
        <f t="shared" si="262"/>
        <v>2000</v>
      </c>
      <c r="L1487" s="34"/>
      <c r="M1487" s="34"/>
      <c r="N1487" s="410"/>
      <c r="O1487" s="196"/>
      <c r="Q1487" s="35"/>
      <c r="S1487" s="268"/>
    </row>
    <row r="1488" spans="1:19" ht="20.100000000000001" hidden="1" customHeight="1" x14ac:dyDescent="0.25">
      <c r="A1488" s="320"/>
      <c r="B1488" s="320"/>
      <c r="C1488" s="320"/>
      <c r="D1488" s="44">
        <v>3121</v>
      </c>
      <c r="E1488" s="320"/>
      <c r="F1488" s="320"/>
      <c r="G1488" s="321" t="s">
        <v>513</v>
      </c>
      <c r="H1488" s="322" t="s">
        <v>18</v>
      </c>
      <c r="I1488" s="282">
        <f t="shared" ref="I1488:K1488" si="263">I1489+I1491</f>
        <v>2000</v>
      </c>
      <c r="J1488" s="282">
        <f t="shared" si="263"/>
        <v>0</v>
      </c>
      <c r="K1488" s="282">
        <f t="shared" si="263"/>
        <v>2000</v>
      </c>
      <c r="L1488" s="34"/>
      <c r="M1488" s="34"/>
      <c r="N1488" s="410"/>
      <c r="O1488" s="196"/>
      <c r="Q1488" s="35"/>
      <c r="S1488" s="268"/>
    </row>
    <row r="1489" spans="1:19" ht="20.100000000000001" hidden="1" customHeight="1" x14ac:dyDescent="0.25">
      <c r="A1489" s="320"/>
      <c r="B1489" s="320"/>
      <c r="C1489" s="320"/>
      <c r="D1489" s="44"/>
      <c r="E1489" s="38" t="s">
        <v>297</v>
      </c>
      <c r="F1489" s="38"/>
      <c r="G1489" s="321" t="s">
        <v>513</v>
      </c>
      <c r="H1489" s="38" t="s">
        <v>298</v>
      </c>
      <c r="I1489" s="282">
        <f t="shared" ref="I1489:K1489" si="264">I1490</f>
        <v>1000</v>
      </c>
      <c r="J1489" s="282">
        <f t="shared" si="264"/>
        <v>0</v>
      </c>
      <c r="K1489" s="282">
        <f t="shared" si="264"/>
        <v>1000</v>
      </c>
      <c r="L1489" s="34"/>
      <c r="M1489" s="34"/>
      <c r="N1489" s="410"/>
      <c r="O1489" s="196"/>
      <c r="Q1489" s="35"/>
      <c r="S1489" s="268"/>
    </row>
    <row r="1490" spans="1:19" ht="20.100000000000001" hidden="1" customHeight="1" x14ac:dyDescent="0.25">
      <c r="A1490" s="320"/>
      <c r="B1490" s="320"/>
      <c r="C1490" s="320"/>
      <c r="D1490" s="44"/>
      <c r="E1490" s="38"/>
      <c r="F1490" s="38" t="s">
        <v>299</v>
      </c>
      <c r="G1490" s="321" t="s">
        <v>513</v>
      </c>
      <c r="H1490" s="38" t="s">
        <v>298</v>
      </c>
      <c r="I1490" s="282">
        <v>1000</v>
      </c>
      <c r="J1490" s="282">
        <f>K1490-I1490</f>
        <v>0</v>
      </c>
      <c r="K1490" s="282">
        <v>1000</v>
      </c>
      <c r="L1490" s="34"/>
      <c r="M1490" s="34"/>
      <c r="N1490" s="410"/>
      <c r="O1490" s="196"/>
      <c r="Q1490" s="35"/>
      <c r="S1490" s="268"/>
    </row>
    <row r="1491" spans="1:19" ht="20.100000000000001" hidden="1" customHeight="1" x14ac:dyDescent="0.25">
      <c r="A1491" s="320"/>
      <c r="B1491" s="320"/>
      <c r="C1491" s="320"/>
      <c r="D1491" s="44"/>
      <c r="E1491" s="38" t="s">
        <v>96</v>
      </c>
      <c r="F1491" s="38"/>
      <c r="G1491" s="321" t="s">
        <v>513</v>
      </c>
      <c r="H1491" s="38" t="s">
        <v>97</v>
      </c>
      <c r="I1491" s="282">
        <f t="shared" ref="I1491:K1491" si="265">I1492</f>
        <v>1000</v>
      </c>
      <c r="J1491" s="282">
        <f t="shared" si="265"/>
        <v>0</v>
      </c>
      <c r="K1491" s="282">
        <f t="shared" si="265"/>
        <v>1000</v>
      </c>
      <c r="L1491" s="34"/>
      <c r="M1491" s="34"/>
      <c r="N1491" s="410"/>
      <c r="O1491" s="196"/>
      <c r="Q1491" s="35"/>
      <c r="S1491" s="268"/>
    </row>
    <row r="1492" spans="1:19" ht="32.1" hidden="1" customHeight="1" x14ac:dyDescent="0.25">
      <c r="A1492" s="324"/>
      <c r="B1492" s="324"/>
      <c r="C1492" s="320"/>
      <c r="D1492" s="44"/>
      <c r="E1492" s="38"/>
      <c r="F1492" s="38" t="s">
        <v>98</v>
      </c>
      <c r="G1492" s="321" t="s">
        <v>513</v>
      </c>
      <c r="H1492" s="38" t="s">
        <v>99</v>
      </c>
      <c r="I1492" s="282">
        <v>1000</v>
      </c>
      <c r="J1492" s="282">
        <f>K1492-I1492</f>
        <v>0</v>
      </c>
      <c r="K1492" s="282">
        <v>1000</v>
      </c>
      <c r="L1492" s="34"/>
      <c r="M1492" s="34"/>
      <c r="N1492" s="410"/>
      <c r="O1492" s="196"/>
      <c r="Q1492" s="35"/>
      <c r="S1492" s="268"/>
    </row>
    <row r="1493" spans="1:19" ht="20.100000000000001" hidden="1" customHeight="1" x14ac:dyDescent="0.25">
      <c r="A1493" s="317"/>
      <c r="B1493" s="317"/>
      <c r="C1493" s="317">
        <v>313</v>
      </c>
      <c r="D1493" s="42"/>
      <c r="E1493" s="317"/>
      <c r="F1493" s="317"/>
      <c r="G1493" s="321" t="s">
        <v>513</v>
      </c>
      <c r="H1493" s="319" t="s">
        <v>100</v>
      </c>
      <c r="I1493" s="365">
        <f t="shared" ref="I1493:K1495" si="266">I1494</f>
        <v>12000</v>
      </c>
      <c r="J1493" s="281">
        <f t="shared" si="266"/>
        <v>0</v>
      </c>
      <c r="K1493" s="365">
        <f t="shared" si="266"/>
        <v>12000</v>
      </c>
      <c r="L1493" s="34"/>
      <c r="M1493" s="34"/>
      <c r="N1493" s="410"/>
      <c r="O1493" s="196"/>
      <c r="Q1493" s="35"/>
      <c r="S1493" s="268"/>
    </row>
    <row r="1494" spans="1:19" ht="20.100000000000001" hidden="1" customHeight="1" x14ac:dyDescent="0.25">
      <c r="A1494" s="320"/>
      <c r="B1494" s="320"/>
      <c r="C1494" s="320"/>
      <c r="D1494" s="44">
        <v>3132</v>
      </c>
      <c r="E1494" s="320"/>
      <c r="F1494" s="320"/>
      <c r="G1494" s="321" t="s">
        <v>513</v>
      </c>
      <c r="H1494" s="322" t="s">
        <v>20</v>
      </c>
      <c r="I1494" s="366">
        <f t="shared" si="266"/>
        <v>12000</v>
      </c>
      <c r="J1494" s="282">
        <f t="shared" si="266"/>
        <v>0</v>
      </c>
      <c r="K1494" s="366">
        <f t="shared" si="266"/>
        <v>12000</v>
      </c>
      <c r="L1494" s="34"/>
      <c r="M1494" s="34"/>
      <c r="N1494" s="410"/>
      <c r="O1494" s="196"/>
      <c r="Q1494" s="35"/>
      <c r="S1494" s="268"/>
    </row>
    <row r="1495" spans="1:19" ht="20.100000000000001" hidden="1" customHeight="1" x14ac:dyDescent="0.25">
      <c r="A1495" s="320"/>
      <c r="B1495" s="320"/>
      <c r="C1495" s="320"/>
      <c r="D1495" s="44"/>
      <c r="E1495" s="38" t="s">
        <v>300</v>
      </c>
      <c r="F1495" s="38"/>
      <c r="G1495" s="321" t="s">
        <v>513</v>
      </c>
      <c r="H1495" s="38" t="s">
        <v>20</v>
      </c>
      <c r="I1495" s="366">
        <f t="shared" si="266"/>
        <v>12000</v>
      </c>
      <c r="J1495" s="282">
        <f t="shared" si="266"/>
        <v>0</v>
      </c>
      <c r="K1495" s="366">
        <f t="shared" si="266"/>
        <v>12000</v>
      </c>
      <c r="L1495" s="34"/>
      <c r="M1495" s="34"/>
      <c r="N1495" s="410"/>
      <c r="O1495" s="196"/>
      <c r="Q1495" s="35"/>
      <c r="S1495" s="268"/>
    </row>
    <row r="1496" spans="1:19" ht="20.100000000000001" hidden="1" customHeight="1" x14ac:dyDescent="0.25">
      <c r="A1496" s="257"/>
      <c r="B1496" s="324"/>
      <c r="C1496" s="320"/>
      <c r="D1496" s="44"/>
      <c r="E1496" s="38"/>
      <c r="F1496" s="38" t="s">
        <v>301</v>
      </c>
      <c r="G1496" s="321" t="s">
        <v>513</v>
      </c>
      <c r="H1496" s="38" t="s">
        <v>20</v>
      </c>
      <c r="I1496" s="366">
        <v>12000</v>
      </c>
      <c r="J1496" s="282">
        <f>K1496-I1496</f>
        <v>0</v>
      </c>
      <c r="K1496" s="282">
        <v>12000</v>
      </c>
      <c r="L1496" s="34"/>
      <c r="M1496" s="34"/>
      <c r="N1496" s="410"/>
      <c r="O1496" s="196"/>
      <c r="Q1496" s="35"/>
      <c r="S1496" s="268"/>
    </row>
    <row r="1497" spans="1:19" ht="20.100000000000001" customHeight="1" x14ac:dyDescent="0.25">
      <c r="A1497" s="317"/>
      <c r="B1497" s="317">
        <v>32</v>
      </c>
      <c r="C1497" s="317"/>
      <c r="D1497" s="42"/>
      <c r="E1497" s="317"/>
      <c r="F1497" s="317"/>
      <c r="G1497" s="321" t="s">
        <v>513</v>
      </c>
      <c r="H1497" s="319" t="s">
        <v>22</v>
      </c>
      <c r="I1497" s="281">
        <f>I1498+I1518+I1522</f>
        <v>12900</v>
      </c>
      <c r="J1497" s="281">
        <f>J1498+J1518+J1522</f>
        <v>0</v>
      </c>
      <c r="K1497" s="281">
        <f>K1498+K1518+K1522</f>
        <v>12900</v>
      </c>
      <c r="L1497" s="34"/>
      <c r="M1497" s="34"/>
      <c r="N1497" s="410"/>
      <c r="O1497" s="196"/>
      <c r="Q1497" s="35"/>
      <c r="S1497" s="268"/>
    </row>
    <row r="1498" spans="1:19" ht="20.100000000000001" hidden="1" customHeight="1" x14ac:dyDescent="0.25">
      <c r="A1498" s="330"/>
      <c r="B1498" s="330"/>
      <c r="C1498" s="325">
        <v>321</v>
      </c>
      <c r="D1498" s="42"/>
      <c r="E1498" s="330"/>
      <c r="F1498" s="330"/>
      <c r="G1498" s="321" t="s">
        <v>513</v>
      </c>
      <c r="H1498" s="373" t="s">
        <v>23</v>
      </c>
      <c r="I1498" s="281">
        <f t="shared" ref="I1498:K1498" si="267">I1499+I1508+I1513</f>
        <v>12200</v>
      </c>
      <c r="J1498" s="281">
        <f t="shared" si="267"/>
        <v>0</v>
      </c>
      <c r="K1498" s="281">
        <f t="shared" si="267"/>
        <v>12200</v>
      </c>
      <c r="L1498" s="34"/>
      <c r="M1498" s="34"/>
      <c r="N1498" s="410"/>
      <c r="O1498" s="196"/>
      <c r="Q1498" s="35"/>
      <c r="S1498" s="268"/>
    </row>
    <row r="1499" spans="1:19" ht="20.100000000000001" hidden="1" customHeight="1" x14ac:dyDescent="0.25">
      <c r="A1499" s="318"/>
      <c r="B1499" s="318"/>
      <c r="C1499" s="320"/>
      <c r="D1499" s="44">
        <v>3211</v>
      </c>
      <c r="E1499" s="318"/>
      <c r="F1499" s="318"/>
      <c r="G1499" s="321" t="s">
        <v>513</v>
      </c>
      <c r="H1499" s="322" t="s">
        <v>24</v>
      </c>
      <c r="I1499" s="282">
        <f t="shared" ref="I1499:K1499" si="268">I1500+I1502+I1504+I1506</f>
        <v>3800</v>
      </c>
      <c r="J1499" s="282">
        <f t="shared" si="268"/>
        <v>0</v>
      </c>
      <c r="K1499" s="282">
        <f t="shared" si="268"/>
        <v>3800</v>
      </c>
      <c r="L1499" s="34"/>
      <c r="M1499" s="34"/>
      <c r="N1499" s="410"/>
      <c r="O1499" s="196"/>
      <c r="Q1499" s="35"/>
      <c r="S1499" s="268"/>
    </row>
    <row r="1500" spans="1:19" ht="20.100000000000001" hidden="1" customHeight="1" x14ac:dyDescent="0.25">
      <c r="A1500" s="318"/>
      <c r="B1500" s="318"/>
      <c r="C1500" s="320"/>
      <c r="D1500" s="44"/>
      <c r="E1500" s="320">
        <v>32111</v>
      </c>
      <c r="F1500" s="320"/>
      <c r="G1500" s="321" t="s">
        <v>513</v>
      </c>
      <c r="H1500" s="322" t="s">
        <v>102</v>
      </c>
      <c r="I1500" s="366">
        <f t="shared" ref="I1500:K1500" si="269">I1501</f>
        <v>500</v>
      </c>
      <c r="J1500" s="282">
        <f t="shared" si="269"/>
        <v>0</v>
      </c>
      <c r="K1500" s="366">
        <f t="shared" si="269"/>
        <v>500</v>
      </c>
      <c r="L1500" s="34"/>
      <c r="M1500" s="34"/>
      <c r="N1500" s="410"/>
      <c r="O1500" s="196"/>
      <c r="Q1500" s="35"/>
      <c r="S1500" s="268"/>
    </row>
    <row r="1501" spans="1:19" ht="20.100000000000001" hidden="1" customHeight="1" x14ac:dyDescent="0.25">
      <c r="A1501" s="318"/>
      <c r="B1501" s="318"/>
      <c r="C1501" s="320"/>
      <c r="D1501" s="44"/>
      <c r="E1501" s="320"/>
      <c r="F1501" s="320">
        <v>321110</v>
      </c>
      <c r="G1501" s="321" t="s">
        <v>513</v>
      </c>
      <c r="H1501" s="322" t="s">
        <v>102</v>
      </c>
      <c r="I1501" s="366">
        <v>500</v>
      </c>
      <c r="J1501" s="282">
        <f>K1501-I1501</f>
        <v>0</v>
      </c>
      <c r="K1501" s="282">
        <v>500</v>
      </c>
      <c r="L1501" s="34"/>
      <c r="M1501" s="34"/>
      <c r="N1501" s="410"/>
      <c r="O1501" s="196"/>
      <c r="Q1501" s="35"/>
      <c r="S1501" s="268"/>
    </row>
    <row r="1502" spans="1:19" ht="32.1" hidden="1" customHeight="1" x14ac:dyDescent="0.25">
      <c r="A1502" s="318"/>
      <c r="B1502" s="318"/>
      <c r="C1502" s="320"/>
      <c r="D1502" s="44"/>
      <c r="E1502" s="320">
        <v>32113</v>
      </c>
      <c r="F1502" s="320"/>
      <c r="G1502" s="321" t="s">
        <v>513</v>
      </c>
      <c r="H1502" s="322" t="s">
        <v>103</v>
      </c>
      <c r="I1502" s="366">
        <f t="shared" ref="I1502:K1502" si="270">I1503</f>
        <v>2800</v>
      </c>
      <c r="J1502" s="282">
        <f t="shared" si="270"/>
        <v>0</v>
      </c>
      <c r="K1502" s="366">
        <f t="shared" si="270"/>
        <v>2800</v>
      </c>
      <c r="L1502" s="34"/>
      <c r="M1502" s="34"/>
      <c r="N1502" s="410"/>
      <c r="O1502" s="196"/>
      <c r="Q1502" s="35"/>
      <c r="S1502" s="268"/>
    </row>
    <row r="1503" spans="1:19" ht="32.1" hidden="1" customHeight="1" x14ac:dyDescent="0.25">
      <c r="A1503" s="318"/>
      <c r="B1503" s="318"/>
      <c r="C1503" s="320"/>
      <c r="D1503" s="44"/>
      <c r="E1503" s="320"/>
      <c r="F1503" s="320">
        <v>321130</v>
      </c>
      <c r="G1503" s="321" t="s">
        <v>513</v>
      </c>
      <c r="H1503" s="322" t="s">
        <v>103</v>
      </c>
      <c r="I1503" s="366">
        <v>2800</v>
      </c>
      <c r="J1503" s="282">
        <f>K1503-I1503</f>
        <v>0</v>
      </c>
      <c r="K1503" s="282">
        <v>2800</v>
      </c>
      <c r="L1503" s="34"/>
      <c r="M1503" s="34"/>
      <c r="N1503" s="410"/>
      <c r="O1503" s="196"/>
      <c r="Q1503" s="35"/>
      <c r="S1503" s="268"/>
    </row>
    <row r="1504" spans="1:19" ht="32.1" hidden="1" customHeight="1" x14ac:dyDescent="0.25">
      <c r="A1504" s="318"/>
      <c r="B1504" s="318"/>
      <c r="C1504" s="320"/>
      <c r="D1504" s="44"/>
      <c r="E1504" s="320">
        <v>32115</v>
      </c>
      <c r="F1504" s="320"/>
      <c r="G1504" s="321" t="s">
        <v>513</v>
      </c>
      <c r="H1504" s="322" t="s">
        <v>104</v>
      </c>
      <c r="I1504" s="366">
        <f t="shared" ref="I1504:K1504" si="271">I1505</f>
        <v>500</v>
      </c>
      <c r="J1504" s="282">
        <f t="shared" si="271"/>
        <v>0</v>
      </c>
      <c r="K1504" s="366">
        <f t="shared" si="271"/>
        <v>500</v>
      </c>
      <c r="L1504" s="34"/>
      <c r="M1504" s="34"/>
      <c r="N1504" s="410"/>
      <c r="O1504" s="196"/>
      <c r="Q1504" s="35"/>
      <c r="S1504" s="268"/>
    </row>
    <row r="1505" spans="1:19" ht="32.1" hidden="1" customHeight="1" x14ac:dyDescent="0.25">
      <c r="A1505" s="318"/>
      <c r="B1505" s="318"/>
      <c r="C1505" s="320"/>
      <c r="D1505" s="44"/>
      <c r="E1505" s="320"/>
      <c r="F1505" s="320">
        <v>321150</v>
      </c>
      <c r="G1505" s="321" t="s">
        <v>513</v>
      </c>
      <c r="H1505" s="322" t="s">
        <v>104</v>
      </c>
      <c r="I1505" s="366">
        <v>500</v>
      </c>
      <c r="J1505" s="282">
        <f>K1505-I1505</f>
        <v>0</v>
      </c>
      <c r="K1505" s="282">
        <v>500</v>
      </c>
      <c r="L1505" s="34"/>
      <c r="M1505" s="34"/>
      <c r="N1505" s="410"/>
      <c r="O1505" s="196"/>
      <c r="Q1505" s="35"/>
      <c r="S1505" s="268"/>
    </row>
    <row r="1506" spans="1:19" ht="20.100000000000001" hidden="1" customHeight="1" x14ac:dyDescent="0.25">
      <c r="A1506" s="318"/>
      <c r="B1506" s="318"/>
      <c r="C1506" s="320"/>
      <c r="D1506" s="44"/>
      <c r="E1506" s="320">
        <v>32119</v>
      </c>
      <c r="F1506" s="320"/>
      <c r="G1506" s="321" t="s">
        <v>513</v>
      </c>
      <c r="H1506" s="322" t="s">
        <v>105</v>
      </c>
      <c r="I1506" s="366">
        <f t="shared" ref="I1506:K1506" si="272">I1507</f>
        <v>0</v>
      </c>
      <c r="J1506" s="282">
        <f t="shared" si="272"/>
        <v>0</v>
      </c>
      <c r="K1506" s="366">
        <f t="shared" si="272"/>
        <v>0</v>
      </c>
      <c r="L1506" s="34"/>
      <c r="M1506" s="34"/>
      <c r="N1506" s="410"/>
      <c r="O1506" s="196"/>
      <c r="Q1506" s="35"/>
      <c r="S1506" s="268"/>
    </row>
    <row r="1507" spans="1:19" ht="20.100000000000001" hidden="1" customHeight="1" x14ac:dyDescent="0.25">
      <c r="A1507" s="318"/>
      <c r="B1507" s="318"/>
      <c r="C1507" s="320"/>
      <c r="D1507" s="44"/>
      <c r="E1507" s="320"/>
      <c r="F1507" s="320">
        <v>321190</v>
      </c>
      <c r="G1507" s="321" t="s">
        <v>513</v>
      </c>
      <c r="H1507" s="322" t="s">
        <v>105</v>
      </c>
      <c r="I1507" s="366">
        <v>0</v>
      </c>
      <c r="J1507" s="282">
        <f>K1507-I1507</f>
        <v>0</v>
      </c>
      <c r="K1507" s="282">
        <v>0</v>
      </c>
      <c r="L1507" s="34"/>
      <c r="M1507" s="34"/>
      <c r="N1507" s="410"/>
      <c r="O1507" s="196"/>
      <c r="Q1507" s="35"/>
      <c r="S1507" s="268"/>
    </row>
    <row r="1508" spans="1:19" ht="32.1" hidden="1" customHeight="1" x14ac:dyDescent="0.25">
      <c r="A1508" s="318"/>
      <c r="B1508" s="318"/>
      <c r="C1508" s="320"/>
      <c r="D1508" s="44">
        <v>3212</v>
      </c>
      <c r="E1508" s="318"/>
      <c r="F1508" s="318"/>
      <c r="G1508" s="321" t="s">
        <v>513</v>
      </c>
      <c r="H1508" s="322" t="s">
        <v>25</v>
      </c>
      <c r="I1508" s="366">
        <f t="shared" ref="I1508:K1508" si="273">I1509+I1511</f>
        <v>6000</v>
      </c>
      <c r="J1508" s="282">
        <f t="shared" si="273"/>
        <v>0</v>
      </c>
      <c r="K1508" s="366">
        <f t="shared" si="273"/>
        <v>6000</v>
      </c>
      <c r="L1508" s="34"/>
      <c r="M1508" s="34"/>
      <c r="N1508" s="410"/>
      <c r="O1508" s="196"/>
      <c r="Q1508" s="35"/>
      <c r="S1508" s="268"/>
    </row>
    <row r="1509" spans="1:19" ht="20.100000000000001" hidden="1" customHeight="1" x14ac:dyDescent="0.25">
      <c r="A1509" s="318"/>
      <c r="B1509" s="318"/>
      <c r="C1509" s="320"/>
      <c r="D1509" s="44"/>
      <c r="E1509" s="320">
        <v>32121</v>
      </c>
      <c r="F1509" s="320"/>
      <c r="G1509" s="321" t="s">
        <v>513</v>
      </c>
      <c r="H1509" s="322" t="s">
        <v>106</v>
      </c>
      <c r="I1509" s="366">
        <f t="shared" ref="I1509:K1509" si="274">I1510</f>
        <v>3500</v>
      </c>
      <c r="J1509" s="282">
        <f t="shared" si="274"/>
        <v>0</v>
      </c>
      <c r="K1509" s="366">
        <f t="shared" si="274"/>
        <v>3500</v>
      </c>
      <c r="L1509" s="34"/>
      <c r="M1509" s="34"/>
      <c r="N1509" s="410"/>
      <c r="O1509" s="196"/>
      <c r="Q1509" s="35"/>
      <c r="S1509" s="268"/>
    </row>
    <row r="1510" spans="1:19" ht="20.100000000000001" hidden="1" customHeight="1" x14ac:dyDescent="0.25">
      <c r="A1510" s="331"/>
      <c r="B1510" s="331"/>
      <c r="C1510" s="320"/>
      <c r="D1510" s="44"/>
      <c r="E1510" s="320"/>
      <c r="F1510" s="320">
        <v>321210</v>
      </c>
      <c r="G1510" s="321" t="s">
        <v>513</v>
      </c>
      <c r="H1510" s="322" t="s">
        <v>106</v>
      </c>
      <c r="I1510" s="366">
        <v>3500</v>
      </c>
      <c r="J1510" s="282">
        <f>K1510-I1510</f>
        <v>0</v>
      </c>
      <c r="K1510" s="282">
        <v>3500</v>
      </c>
      <c r="L1510" s="34"/>
      <c r="M1510" s="34"/>
      <c r="N1510" s="410"/>
      <c r="O1510" s="196"/>
      <c r="Q1510" s="35"/>
      <c r="S1510" s="268"/>
    </row>
    <row r="1511" spans="1:19" ht="20.100000000000001" hidden="1" customHeight="1" x14ac:dyDescent="0.25">
      <c r="A1511" s="318"/>
      <c r="B1511" s="318"/>
      <c r="C1511" s="320"/>
      <c r="D1511" s="44"/>
      <c r="E1511" s="320">
        <v>32123</v>
      </c>
      <c r="F1511" s="320"/>
      <c r="G1511" s="321" t="s">
        <v>513</v>
      </c>
      <c r="H1511" s="322" t="s">
        <v>107</v>
      </c>
      <c r="I1511" s="282">
        <f t="shared" ref="I1511:K1511" si="275">I1512</f>
        <v>2500</v>
      </c>
      <c r="J1511" s="282">
        <f t="shared" si="275"/>
        <v>0</v>
      </c>
      <c r="K1511" s="282">
        <f t="shared" si="275"/>
        <v>2500</v>
      </c>
      <c r="L1511" s="34"/>
      <c r="M1511" s="34"/>
      <c r="N1511" s="410"/>
      <c r="O1511" s="196"/>
      <c r="Q1511" s="35"/>
      <c r="S1511" s="268"/>
    </row>
    <row r="1512" spans="1:19" ht="20.100000000000001" hidden="1" customHeight="1" x14ac:dyDescent="0.25">
      <c r="A1512" s="331"/>
      <c r="B1512" s="331"/>
      <c r="C1512" s="320"/>
      <c r="D1512" s="44"/>
      <c r="E1512" s="320"/>
      <c r="F1512" s="320">
        <v>321230</v>
      </c>
      <c r="G1512" s="321" t="s">
        <v>513</v>
      </c>
      <c r="H1512" s="322" t="s">
        <v>107</v>
      </c>
      <c r="I1512" s="282">
        <v>2500</v>
      </c>
      <c r="J1512" s="282">
        <f>K1512-I1512</f>
        <v>0</v>
      </c>
      <c r="K1512" s="282">
        <v>2500</v>
      </c>
      <c r="L1512" s="34"/>
      <c r="M1512" s="34"/>
      <c r="N1512" s="410"/>
      <c r="O1512" s="196"/>
      <c r="Q1512" s="35"/>
      <c r="S1512" s="268"/>
    </row>
    <row r="1513" spans="1:19" ht="20.100000000000001" hidden="1" customHeight="1" x14ac:dyDescent="0.25">
      <c r="A1513" s="318"/>
      <c r="B1513" s="318"/>
      <c r="C1513" s="320"/>
      <c r="D1513" s="44">
        <v>3213</v>
      </c>
      <c r="E1513" s="318"/>
      <c r="F1513" s="318"/>
      <c r="G1513" s="321" t="s">
        <v>513</v>
      </c>
      <c r="H1513" s="322" t="s">
        <v>26</v>
      </c>
      <c r="I1513" s="282">
        <f t="shared" ref="I1513:K1513" si="276">I1514+I1516</f>
        <v>2400</v>
      </c>
      <c r="J1513" s="282">
        <f t="shared" si="276"/>
        <v>0</v>
      </c>
      <c r="K1513" s="282">
        <f t="shared" si="276"/>
        <v>2400</v>
      </c>
      <c r="L1513" s="34"/>
      <c r="M1513" s="34"/>
      <c r="N1513" s="410"/>
      <c r="O1513" s="196"/>
      <c r="Q1513" s="35"/>
      <c r="S1513" s="268"/>
    </row>
    <row r="1514" spans="1:19" ht="20.100000000000001" hidden="1" customHeight="1" x14ac:dyDescent="0.25">
      <c r="A1514" s="318"/>
      <c r="B1514" s="318"/>
      <c r="C1514" s="318"/>
      <c r="D1514" s="214"/>
      <c r="E1514" s="38" t="s">
        <v>108</v>
      </c>
      <c r="F1514" s="38"/>
      <c r="G1514" s="321" t="s">
        <v>513</v>
      </c>
      <c r="H1514" s="322" t="s">
        <v>109</v>
      </c>
      <c r="I1514" s="282">
        <f t="shared" ref="I1514:K1514" si="277">I1515</f>
        <v>2400</v>
      </c>
      <c r="J1514" s="282">
        <f t="shared" si="277"/>
        <v>0</v>
      </c>
      <c r="K1514" s="282">
        <f t="shared" si="277"/>
        <v>2400</v>
      </c>
      <c r="L1514" s="34"/>
      <c r="M1514" s="34"/>
      <c r="N1514" s="410"/>
      <c r="O1514" s="196"/>
      <c r="Q1514" s="35"/>
      <c r="S1514" s="268"/>
    </row>
    <row r="1515" spans="1:19" ht="20.100000000000001" hidden="1" customHeight="1" x14ac:dyDescent="0.25">
      <c r="A1515" s="318"/>
      <c r="B1515" s="318"/>
      <c r="C1515" s="318"/>
      <c r="D1515" s="214"/>
      <c r="E1515" s="38"/>
      <c r="F1515" s="38" t="s">
        <v>110</v>
      </c>
      <c r="G1515" s="321" t="s">
        <v>513</v>
      </c>
      <c r="H1515" s="322" t="s">
        <v>111</v>
      </c>
      <c r="I1515" s="282">
        <v>2400</v>
      </c>
      <c r="J1515" s="282">
        <f>K1515-I1515</f>
        <v>0</v>
      </c>
      <c r="K1515" s="282">
        <v>2400</v>
      </c>
      <c r="L1515" s="34"/>
      <c r="M1515" s="34"/>
      <c r="N1515" s="410"/>
      <c r="O1515" s="196"/>
      <c r="Q1515" s="35"/>
      <c r="S1515" s="268"/>
    </row>
    <row r="1516" spans="1:19" ht="20.100000000000001" hidden="1" customHeight="1" x14ac:dyDescent="0.25">
      <c r="A1516" s="318"/>
      <c r="B1516" s="318"/>
      <c r="C1516" s="318"/>
      <c r="D1516" s="214"/>
      <c r="E1516" s="38" t="s">
        <v>114</v>
      </c>
      <c r="F1516" s="38"/>
      <c r="G1516" s="321" t="s">
        <v>513</v>
      </c>
      <c r="H1516" s="38" t="s">
        <v>115</v>
      </c>
      <c r="I1516" s="282">
        <f t="shared" ref="I1516:K1516" si="278">I1517</f>
        <v>0</v>
      </c>
      <c r="J1516" s="282">
        <f t="shared" si="278"/>
        <v>0</v>
      </c>
      <c r="K1516" s="282">
        <f t="shared" si="278"/>
        <v>0</v>
      </c>
      <c r="L1516" s="34"/>
      <c r="M1516" s="34"/>
      <c r="N1516" s="410"/>
      <c r="O1516" s="196"/>
      <c r="Q1516" s="35"/>
      <c r="S1516" s="268"/>
    </row>
    <row r="1517" spans="1:19" ht="20.100000000000001" hidden="1" customHeight="1" x14ac:dyDescent="0.25">
      <c r="A1517" s="318"/>
      <c r="B1517" s="318"/>
      <c r="C1517" s="318"/>
      <c r="D1517" s="214"/>
      <c r="E1517" s="38"/>
      <c r="F1517" s="38" t="s">
        <v>116</v>
      </c>
      <c r="G1517" s="321" t="s">
        <v>513</v>
      </c>
      <c r="H1517" s="38" t="s">
        <v>115</v>
      </c>
      <c r="I1517" s="282">
        <v>0</v>
      </c>
      <c r="J1517" s="282">
        <f>K1517-I1517</f>
        <v>0</v>
      </c>
      <c r="K1517" s="282">
        <v>0</v>
      </c>
      <c r="L1517" s="34"/>
      <c r="M1517" s="34"/>
      <c r="N1517" s="410"/>
      <c r="O1517" s="196"/>
      <c r="Q1517" s="35"/>
      <c r="S1517" s="268"/>
    </row>
    <row r="1518" spans="1:19" ht="20.100000000000001" hidden="1" customHeight="1" x14ac:dyDescent="0.25">
      <c r="A1518" s="317"/>
      <c r="B1518" s="317"/>
      <c r="C1518" s="317">
        <v>322</v>
      </c>
      <c r="D1518" s="42"/>
      <c r="E1518" s="317"/>
      <c r="F1518" s="317"/>
      <c r="G1518" s="321" t="s">
        <v>513</v>
      </c>
      <c r="H1518" s="319" t="s">
        <v>27</v>
      </c>
      <c r="I1518" s="281">
        <f t="shared" ref="I1518:K1520" si="279">I1519</f>
        <v>100</v>
      </c>
      <c r="J1518" s="281">
        <f t="shared" si="279"/>
        <v>0</v>
      </c>
      <c r="K1518" s="281">
        <f t="shared" si="279"/>
        <v>100</v>
      </c>
      <c r="L1518" s="34"/>
      <c r="M1518" s="34"/>
      <c r="N1518" s="410"/>
      <c r="O1518" s="196"/>
      <c r="Q1518" s="35"/>
      <c r="S1518" s="268"/>
    </row>
    <row r="1519" spans="1:19" ht="20.100000000000001" hidden="1" customHeight="1" x14ac:dyDescent="0.25">
      <c r="A1519" s="320"/>
      <c r="B1519" s="320"/>
      <c r="C1519" s="320"/>
      <c r="D1519" s="44">
        <v>3221</v>
      </c>
      <c r="E1519" s="320"/>
      <c r="F1519" s="320"/>
      <c r="G1519" s="321" t="s">
        <v>513</v>
      </c>
      <c r="H1519" s="322" t="s">
        <v>117</v>
      </c>
      <c r="I1519" s="282">
        <f t="shared" si="279"/>
        <v>100</v>
      </c>
      <c r="J1519" s="282">
        <f t="shared" si="279"/>
        <v>0</v>
      </c>
      <c r="K1519" s="282">
        <f t="shared" si="279"/>
        <v>100</v>
      </c>
      <c r="L1519" s="34"/>
      <c r="M1519" s="34"/>
      <c r="N1519" s="410"/>
      <c r="O1519" s="196"/>
      <c r="Q1519" s="35"/>
      <c r="S1519" s="268"/>
    </row>
    <row r="1520" spans="1:19" ht="20.100000000000001" hidden="1" customHeight="1" x14ac:dyDescent="0.25">
      <c r="A1520" s="320"/>
      <c r="B1520" s="320"/>
      <c r="C1520" s="320"/>
      <c r="D1520" s="44"/>
      <c r="E1520" s="38" t="s">
        <v>118</v>
      </c>
      <c r="F1520" s="38"/>
      <c r="G1520" s="321" t="s">
        <v>513</v>
      </c>
      <c r="H1520" s="332" t="s">
        <v>119</v>
      </c>
      <c r="I1520" s="366">
        <f t="shared" si="279"/>
        <v>100</v>
      </c>
      <c r="J1520" s="282">
        <f t="shared" si="279"/>
        <v>0</v>
      </c>
      <c r="K1520" s="366">
        <f t="shared" si="279"/>
        <v>100</v>
      </c>
      <c r="L1520" s="34"/>
      <c r="M1520" s="34"/>
      <c r="N1520" s="410"/>
      <c r="O1520" s="196"/>
      <c r="Q1520" s="35"/>
      <c r="S1520" s="268"/>
    </row>
    <row r="1521" spans="1:19" ht="20.100000000000001" hidden="1" customHeight="1" x14ac:dyDescent="0.25">
      <c r="A1521" s="324"/>
      <c r="B1521" s="324"/>
      <c r="C1521" s="320"/>
      <c r="D1521" s="44"/>
      <c r="E1521" s="38"/>
      <c r="F1521" s="38" t="s">
        <v>120</v>
      </c>
      <c r="G1521" s="321" t="s">
        <v>513</v>
      </c>
      <c r="H1521" s="332" t="s">
        <v>119</v>
      </c>
      <c r="I1521" s="366">
        <v>100</v>
      </c>
      <c r="J1521" s="282">
        <f>K1521-I1521</f>
        <v>0</v>
      </c>
      <c r="K1521" s="282">
        <v>100</v>
      </c>
      <c r="L1521" s="34"/>
      <c r="M1521" s="34"/>
      <c r="N1521" s="410"/>
      <c r="O1521" s="196"/>
      <c r="Q1521" s="35"/>
      <c r="S1521" s="268"/>
    </row>
    <row r="1522" spans="1:19" ht="20.100000000000001" hidden="1" customHeight="1" x14ac:dyDescent="0.25">
      <c r="A1522" s="317"/>
      <c r="B1522" s="317"/>
      <c r="C1522" s="42">
        <v>323</v>
      </c>
      <c r="D1522" s="42"/>
      <c r="E1522" s="43"/>
      <c r="F1522" s="43"/>
      <c r="G1522" s="321" t="s">
        <v>513</v>
      </c>
      <c r="H1522" s="43" t="s">
        <v>34</v>
      </c>
      <c r="I1522" s="281">
        <f t="shared" ref="I1522:K1524" si="280">I1523</f>
        <v>600</v>
      </c>
      <c r="J1522" s="281">
        <f t="shared" si="280"/>
        <v>0</v>
      </c>
      <c r="K1522" s="281">
        <f t="shared" si="280"/>
        <v>600</v>
      </c>
      <c r="L1522" s="34"/>
      <c r="M1522" s="34"/>
      <c r="N1522" s="410"/>
      <c r="O1522" s="196"/>
      <c r="Q1522" s="35"/>
      <c r="S1522" s="268"/>
    </row>
    <row r="1523" spans="1:19" ht="20.100000000000001" hidden="1" customHeight="1" x14ac:dyDescent="0.25">
      <c r="A1523" s="320"/>
      <c r="B1523" s="320"/>
      <c r="C1523" s="320"/>
      <c r="D1523" s="44">
        <v>3237</v>
      </c>
      <c r="E1523" s="320"/>
      <c r="F1523" s="320"/>
      <c r="G1523" s="321" t="s">
        <v>513</v>
      </c>
      <c r="H1523" s="322" t="s">
        <v>208</v>
      </c>
      <c r="I1523" s="282">
        <f t="shared" si="280"/>
        <v>600</v>
      </c>
      <c r="J1523" s="282">
        <f t="shared" si="280"/>
        <v>0</v>
      </c>
      <c r="K1523" s="282">
        <f t="shared" si="280"/>
        <v>600</v>
      </c>
      <c r="L1523" s="34"/>
      <c r="M1523" s="34"/>
      <c r="N1523" s="410"/>
      <c r="O1523" s="196"/>
      <c r="Q1523" s="35"/>
      <c r="S1523" s="268"/>
    </row>
    <row r="1524" spans="1:19" ht="20.100000000000001" hidden="1" customHeight="1" x14ac:dyDescent="0.25">
      <c r="A1524" s="320"/>
      <c r="B1524" s="320"/>
      <c r="C1524" s="320"/>
      <c r="D1524" s="44"/>
      <c r="E1524" s="38" t="s">
        <v>215</v>
      </c>
      <c r="F1524" s="38"/>
      <c r="G1524" s="321" t="s">
        <v>513</v>
      </c>
      <c r="H1524" s="38" t="s">
        <v>216</v>
      </c>
      <c r="I1524" s="366">
        <f t="shared" si="280"/>
        <v>600</v>
      </c>
      <c r="J1524" s="282">
        <f t="shared" si="280"/>
        <v>0</v>
      </c>
      <c r="K1524" s="366">
        <f t="shared" si="280"/>
        <v>600</v>
      </c>
      <c r="L1524" s="34"/>
      <c r="M1524" s="34"/>
      <c r="N1524" s="410"/>
      <c r="O1524" s="196"/>
      <c r="Q1524" s="35"/>
      <c r="S1524" s="268"/>
    </row>
    <row r="1525" spans="1:19" ht="20.100000000000001" hidden="1" customHeight="1" x14ac:dyDescent="0.25">
      <c r="A1525" s="333"/>
      <c r="B1525" s="333"/>
      <c r="C1525" s="374"/>
      <c r="D1525" s="44"/>
      <c r="E1525" s="332"/>
      <c r="F1525" s="332" t="s">
        <v>217</v>
      </c>
      <c r="G1525" s="321" t="s">
        <v>513</v>
      </c>
      <c r="H1525" s="332" t="s">
        <v>216</v>
      </c>
      <c r="I1525" s="282">
        <v>600</v>
      </c>
      <c r="J1525" s="282">
        <f>K1525-I1525</f>
        <v>0</v>
      </c>
      <c r="K1525" s="282">
        <v>600</v>
      </c>
      <c r="L1525" s="34"/>
      <c r="M1525" s="34"/>
      <c r="N1525" s="410"/>
      <c r="O1525" s="196"/>
      <c r="Q1525" s="35"/>
      <c r="S1525" s="268"/>
    </row>
    <row r="1526" spans="1:19" ht="38.25" hidden="1" x14ac:dyDescent="0.25">
      <c r="A1526" s="308"/>
      <c r="B1526" s="308"/>
      <c r="C1526" s="308"/>
      <c r="D1526" s="309"/>
      <c r="E1526" s="309"/>
      <c r="F1526" s="375"/>
      <c r="G1526" s="376"/>
      <c r="H1526" s="307" t="s">
        <v>505</v>
      </c>
      <c r="I1526" s="310"/>
      <c r="J1526" s="310"/>
      <c r="K1526" s="310"/>
      <c r="L1526" s="34"/>
      <c r="M1526" s="34"/>
      <c r="N1526" s="410"/>
      <c r="O1526" s="196"/>
      <c r="Q1526" s="35"/>
      <c r="S1526" s="268"/>
    </row>
    <row r="1527" spans="1:19" ht="20.100000000000001" hidden="1" customHeight="1" x14ac:dyDescent="0.25">
      <c r="A1527" s="308"/>
      <c r="B1527" s="308"/>
      <c r="C1527" s="308"/>
      <c r="D1527" s="309"/>
      <c r="E1527" s="309"/>
      <c r="F1527" s="375"/>
      <c r="G1527" s="376"/>
      <c r="H1527" s="307" t="s">
        <v>506</v>
      </c>
      <c r="I1527" s="310"/>
      <c r="J1527" s="310"/>
      <c r="K1527" s="310"/>
      <c r="L1527" s="34"/>
      <c r="M1527" s="34"/>
      <c r="N1527" s="410"/>
      <c r="O1527" s="196"/>
      <c r="Q1527" s="35"/>
      <c r="S1527" s="268"/>
    </row>
    <row r="1528" spans="1:19" ht="20.100000000000001" hidden="1" customHeight="1" x14ac:dyDescent="0.25">
      <c r="A1528" s="312"/>
      <c r="B1528" s="343"/>
      <c r="C1528" s="343"/>
      <c r="D1528" s="344"/>
      <c r="E1528" s="344"/>
      <c r="F1528" s="349"/>
      <c r="G1528" s="377"/>
      <c r="H1528" s="354" t="s">
        <v>507</v>
      </c>
      <c r="I1528" s="316"/>
      <c r="J1528" s="316"/>
      <c r="K1528" s="316"/>
      <c r="L1528" s="34"/>
      <c r="M1528" s="34"/>
      <c r="N1528" s="410"/>
      <c r="O1528" s="196"/>
      <c r="Q1528" s="35"/>
      <c r="S1528" s="268"/>
    </row>
    <row r="1529" spans="1:19" ht="20.100000000000001" hidden="1" customHeight="1" x14ac:dyDescent="0.25">
      <c r="A1529" s="172">
        <v>3</v>
      </c>
      <c r="B1529" s="172"/>
      <c r="C1529" s="172"/>
      <c r="D1529" s="172"/>
      <c r="E1529" s="172"/>
      <c r="F1529" s="42"/>
      <c r="G1529" s="211"/>
      <c r="H1529" s="43" t="s">
        <v>81</v>
      </c>
      <c r="I1529" s="281">
        <f t="shared" ref="I1529:K1529" si="281">I1530+I1539</f>
        <v>0</v>
      </c>
      <c r="J1529" s="281">
        <f t="shared" si="281"/>
        <v>0</v>
      </c>
      <c r="K1529" s="281">
        <f t="shared" si="281"/>
        <v>0</v>
      </c>
      <c r="L1529" s="34"/>
      <c r="M1529" s="34"/>
      <c r="N1529" s="410"/>
      <c r="O1529" s="196"/>
      <c r="Q1529" s="35"/>
      <c r="S1529" s="268"/>
    </row>
    <row r="1530" spans="1:19" ht="20.100000000000001" hidden="1" customHeight="1" x14ac:dyDescent="0.25">
      <c r="A1530" s="172"/>
      <c r="B1530" s="172">
        <v>31</v>
      </c>
      <c r="C1530" s="172"/>
      <c r="D1530" s="172"/>
      <c r="E1530" s="172"/>
      <c r="F1530" s="42"/>
      <c r="G1530" s="211"/>
      <c r="H1530" s="43" t="s">
        <v>13</v>
      </c>
      <c r="I1530" s="281">
        <f t="shared" ref="I1530:M1530" si="282">I1531+I1535</f>
        <v>0</v>
      </c>
      <c r="J1530" s="281">
        <f t="shared" si="282"/>
        <v>0</v>
      </c>
      <c r="K1530" s="281">
        <f t="shared" si="282"/>
        <v>0</v>
      </c>
      <c r="L1530" s="26">
        <f t="shared" si="282"/>
        <v>0</v>
      </c>
      <c r="M1530" s="26">
        <f t="shared" si="282"/>
        <v>0</v>
      </c>
      <c r="N1530" s="410"/>
      <c r="O1530" s="196"/>
      <c r="Q1530" s="35"/>
      <c r="S1530" s="268"/>
    </row>
    <row r="1531" spans="1:19" ht="20.100000000000001" hidden="1" customHeight="1" x14ac:dyDescent="0.25">
      <c r="A1531" s="176"/>
      <c r="B1531" s="176"/>
      <c r="C1531" s="172">
        <v>311</v>
      </c>
      <c r="D1531" s="172"/>
      <c r="E1531" s="172"/>
      <c r="F1531" s="42"/>
      <c r="G1531" s="181" t="s">
        <v>502</v>
      </c>
      <c r="H1531" s="43" t="s">
        <v>14</v>
      </c>
      <c r="I1531" s="281">
        <f t="shared" ref="I1531:K1533" si="283">I1532</f>
        <v>0</v>
      </c>
      <c r="J1531" s="281">
        <f>K1531-I1531</f>
        <v>0</v>
      </c>
      <c r="K1531" s="281">
        <f t="shared" si="283"/>
        <v>0</v>
      </c>
      <c r="L1531" s="34"/>
      <c r="M1531" s="34"/>
      <c r="N1531" s="410"/>
      <c r="O1531" s="196"/>
      <c r="Q1531" s="35"/>
      <c r="S1531" s="268"/>
    </row>
    <row r="1532" spans="1:19" ht="20.100000000000001" hidden="1" customHeight="1" x14ac:dyDescent="0.25">
      <c r="A1532" s="174"/>
      <c r="B1532" s="174"/>
      <c r="C1532" s="174"/>
      <c r="D1532" s="174">
        <v>3111</v>
      </c>
      <c r="E1532" s="174"/>
      <c r="F1532" s="44"/>
      <c r="G1532" s="181" t="s">
        <v>502</v>
      </c>
      <c r="H1532" s="38" t="s">
        <v>15</v>
      </c>
      <c r="I1532" s="282">
        <f t="shared" si="283"/>
        <v>0</v>
      </c>
      <c r="J1532" s="282">
        <f t="shared" si="283"/>
        <v>0</v>
      </c>
      <c r="K1532" s="282">
        <f t="shared" si="283"/>
        <v>0</v>
      </c>
      <c r="L1532" s="34"/>
      <c r="M1532" s="34"/>
      <c r="N1532" s="410"/>
      <c r="O1532" s="196"/>
      <c r="Q1532" s="35"/>
      <c r="S1532" s="268"/>
    </row>
    <row r="1533" spans="1:19" ht="20.100000000000001" hidden="1" customHeight="1" x14ac:dyDescent="0.25">
      <c r="A1533" s="174"/>
      <c r="B1533" s="174"/>
      <c r="C1533" s="174"/>
      <c r="D1533" s="174"/>
      <c r="E1533" s="171" t="s">
        <v>290</v>
      </c>
      <c r="F1533" s="38"/>
      <c r="G1533" s="181" t="s">
        <v>502</v>
      </c>
      <c r="H1533" s="38" t="s">
        <v>291</v>
      </c>
      <c r="I1533" s="282">
        <f t="shared" si="283"/>
        <v>0</v>
      </c>
      <c r="J1533" s="282">
        <f t="shared" si="283"/>
        <v>0</v>
      </c>
      <c r="K1533" s="282">
        <f t="shared" si="283"/>
        <v>0</v>
      </c>
      <c r="L1533" s="34"/>
      <c r="M1533" s="34"/>
      <c r="N1533" s="410"/>
      <c r="O1533" s="196"/>
      <c r="Q1533" s="35"/>
      <c r="S1533" s="268"/>
    </row>
    <row r="1534" spans="1:19" ht="20.100000000000001" hidden="1" customHeight="1" x14ac:dyDescent="0.25">
      <c r="A1534" s="174"/>
      <c r="B1534" s="174"/>
      <c r="C1534" s="174"/>
      <c r="D1534" s="174"/>
      <c r="E1534" s="171"/>
      <c r="F1534" s="38" t="s">
        <v>292</v>
      </c>
      <c r="G1534" s="181" t="s">
        <v>502</v>
      </c>
      <c r="H1534" s="38" t="s">
        <v>349</v>
      </c>
      <c r="I1534" s="282">
        <v>0</v>
      </c>
      <c r="J1534" s="282">
        <f>K1534-I1534</f>
        <v>0</v>
      </c>
      <c r="K1534" s="282">
        <v>0</v>
      </c>
      <c r="L1534" s="34"/>
      <c r="M1534" s="34"/>
      <c r="N1534" s="410"/>
      <c r="O1534" s="196"/>
      <c r="Q1534" s="35"/>
      <c r="S1534" s="268"/>
    </row>
    <row r="1535" spans="1:19" ht="20.100000000000001" hidden="1" customHeight="1" x14ac:dyDescent="0.25">
      <c r="A1535" s="176"/>
      <c r="B1535" s="176"/>
      <c r="C1535" s="172">
        <v>313</v>
      </c>
      <c r="D1535" s="172"/>
      <c r="E1535" s="172"/>
      <c r="F1535" s="42"/>
      <c r="G1535" s="181" t="s">
        <v>502</v>
      </c>
      <c r="H1535" s="43" t="s">
        <v>100</v>
      </c>
      <c r="I1535" s="281">
        <f t="shared" ref="I1535:K1537" si="284">I1536</f>
        <v>0</v>
      </c>
      <c r="J1535" s="281">
        <f t="shared" si="284"/>
        <v>0</v>
      </c>
      <c r="K1535" s="281">
        <f t="shared" si="284"/>
        <v>0</v>
      </c>
      <c r="L1535" s="34"/>
      <c r="M1535" s="34"/>
      <c r="N1535" s="410"/>
      <c r="O1535" s="196"/>
      <c r="Q1535" s="35"/>
      <c r="S1535" s="268"/>
    </row>
    <row r="1536" spans="1:19" ht="20.100000000000001" hidden="1" customHeight="1" x14ac:dyDescent="0.25">
      <c r="A1536" s="174"/>
      <c r="B1536" s="174"/>
      <c r="C1536" s="174"/>
      <c r="D1536" s="174">
        <v>3132</v>
      </c>
      <c r="E1536" s="174"/>
      <c r="F1536" s="44"/>
      <c r="G1536" s="181" t="s">
        <v>502</v>
      </c>
      <c r="H1536" s="38" t="s">
        <v>20</v>
      </c>
      <c r="I1536" s="282">
        <f t="shared" si="284"/>
        <v>0</v>
      </c>
      <c r="J1536" s="282">
        <f t="shared" si="284"/>
        <v>0</v>
      </c>
      <c r="K1536" s="282">
        <f t="shared" si="284"/>
        <v>0</v>
      </c>
      <c r="L1536" s="34"/>
      <c r="M1536" s="34"/>
      <c r="N1536" s="410"/>
      <c r="O1536" s="196"/>
      <c r="Q1536" s="35"/>
      <c r="S1536" s="268"/>
    </row>
    <row r="1537" spans="1:19" ht="20.100000000000001" hidden="1" customHeight="1" x14ac:dyDescent="0.25">
      <c r="A1537" s="174"/>
      <c r="B1537" s="174"/>
      <c r="C1537" s="174"/>
      <c r="D1537" s="174"/>
      <c r="E1537" s="171" t="s">
        <v>300</v>
      </c>
      <c r="F1537" s="38"/>
      <c r="G1537" s="181" t="s">
        <v>502</v>
      </c>
      <c r="H1537" s="38" t="s">
        <v>20</v>
      </c>
      <c r="I1537" s="282">
        <f t="shared" si="284"/>
        <v>0</v>
      </c>
      <c r="J1537" s="282">
        <f t="shared" si="284"/>
        <v>0</v>
      </c>
      <c r="K1537" s="282">
        <f t="shared" si="284"/>
        <v>0</v>
      </c>
      <c r="L1537" s="34"/>
      <c r="M1537" s="34"/>
      <c r="N1537" s="410"/>
      <c r="O1537" s="196"/>
      <c r="Q1537" s="35"/>
      <c r="S1537" s="268"/>
    </row>
    <row r="1538" spans="1:19" ht="20.100000000000001" hidden="1" customHeight="1" x14ac:dyDescent="0.25">
      <c r="A1538" s="174"/>
      <c r="B1538" s="174"/>
      <c r="C1538" s="174"/>
      <c r="D1538" s="174"/>
      <c r="E1538" s="171"/>
      <c r="F1538" s="38" t="s">
        <v>301</v>
      </c>
      <c r="G1538" s="181" t="s">
        <v>502</v>
      </c>
      <c r="H1538" s="38" t="s">
        <v>20</v>
      </c>
      <c r="I1538" s="282">
        <v>0</v>
      </c>
      <c r="J1538" s="282">
        <f>K1538-I1538</f>
        <v>0</v>
      </c>
      <c r="K1538" s="282">
        <v>0</v>
      </c>
      <c r="L1538" s="34"/>
      <c r="M1538" s="34"/>
      <c r="N1538" s="410"/>
      <c r="O1538" s="196"/>
      <c r="Q1538" s="35"/>
      <c r="S1538" s="268"/>
    </row>
    <row r="1539" spans="1:19" ht="20.100000000000001" hidden="1" customHeight="1" x14ac:dyDescent="0.25">
      <c r="A1539" s="174"/>
      <c r="B1539" s="172">
        <v>32</v>
      </c>
      <c r="C1539" s="172"/>
      <c r="D1539" s="172"/>
      <c r="E1539" s="173"/>
      <c r="F1539" s="43"/>
      <c r="G1539" s="181"/>
      <c r="H1539" s="43" t="s">
        <v>22</v>
      </c>
      <c r="I1539" s="281">
        <f t="shared" ref="I1539:M1541" si="285">I1540</f>
        <v>0</v>
      </c>
      <c r="J1539" s="281">
        <f t="shared" si="285"/>
        <v>0</v>
      </c>
      <c r="K1539" s="281">
        <f t="shared" si="285"/>
        <v>0</v>
      </c>
      <c r="L1539" s="26">
        <f t="shared" si="285"/>
        <v>0</v>
      </c>
      <c r="M1539" s="26">
        <f t="shared" si="285"/>
        <v>0</v>
      </c>
      <c r="N1539" s="410"/>
      <c r="O1539" s="196"/>
      <c r="Q1539" s="35"/>
      <c r="S1539" s="268"/>
    </row>
    <row r="1540" spans="1:19" ht="20.100000000000001" hidden="1" customHeight="1" x14ac:dyDescent="0.25">
      <c r="A1540" s="176"/>
      <c r="B1540" s="176"/>
      <c r="C1540" s="172">
        <v>322</v>
      </c>
      <c r="D1540" s="172"/>
      <c r="E1540" s="173"/>
      <c r="F1540" s="43"/>
      <c r="G1540" s="181" t="s">
        <v>502</v>
      </c>
      <c r="H1540" s="43" t="s">
        <v>27</v>
      </c>
      <c r="I1540" s="282">
        <f t="shared" si="285"/>
        <v>0</v>
      </c>
      <c r="J1540" s="281">
        <f t="shared" si="285"/>
        <v>0</v>
      </c>
      <c r="K1540" s="281">
        <f t="shared" si="285"/>
        <v>0</v>
      </c>
      <c r="L1540" s="34"/>
      <c r="M1540" s="34"/>
      <c r="N1540" s="410"/>
      <c r="O1540" s="196"/>
      <c r="Q1540" s="35"/>
      <c r="S1540" s="268"/>
    </row>
    <row r="1541" spans="1:19" ht="20.100000000000001" hidden="1" customHeight="1" x14ac:dyDescent="0.25">
      <c r="A1541" s="174"/>
      <c r="B1541" s="174"/>
      <c r="C1541" s="174"/>
      <c r="D1541" s="174">
        <v>3221</v>
      </c>
      <c r="E1541" s="171"/>
      <c r="F1541" s="38"/>
      <c r="G1541" s="181" t="s">
        <v>502</v>
      </c>
      <c r="H1541" s="38" t="s">
        <v>117</v>
      </c>
      <c r="I1541" s="282">
        <f t="shared" si="285"/>
        <v>0</v>
      </c>
      <c r="J1541" s="282">
        <f t="shared" si="285"/>
        <v>0</v>
      </c>
      <c r="K1541" s="282">
        <f t="shared" si="285"/>
        <v>0</v>
      </c>
      <c r="L1541" s="34"/>
      <c r="M1541" s="34"/>
      <c r="N1541" s="410"/>
      <c r="O1541" s="196"/>
      <c r="Q1541" s="35"/>
      <c r="S1541" s="268"/>
    </row>
    <row r="1542" spans="1:19" ht="20.100000000000001" hidden="1" customHeight="1" x14ac:dyDescent="0.25">
      <c r="A1542" s="174"/>
      <c r="B1542" s="174"/>
      <c r="C1542" s="174"/>
      <c r="D1542" s="174"/>
      <c r="E1542" s="171" t="s">
        <v>118</v>
      </c>
      <c r="F1542" s="38"/>
      <c r="G1542" s="181" t="s">
        <v>502</v>
      </c>
      <c r="H1542" s="38" t="s">
        <v>119</v>
      </c>
      <c r="I1542" s="282">
        <f>I1543+I1544</f>
        <v>0</v>
      </c>
      <c r="J1542" s="282">
        <f>J1543+J1544</f>
        <v>0</v>
      </c>
      <c r="K1542" s="282">
        <f>K1543+K1544</f>
        <v>0</v>
      </c>
      <c r="L1542" s="34"/>
      <c r="M1542" s="34"/>
      <c r="N1542" s="410"/>
      <c r="O1542" s="196"/>
      <c r="Q1542" s="35"/>
      <c r="S1542" s="268"/>
    </row>
    <row r="1543" spans="1:19" ht="20.100000000000001" hidden="1" customHeight="1" x14ac:dyDescent="0.25">
      <c r="A1543" s="174"/>
      <c r="B1543" s="174"/>
      <c r="C1543" s="174"/>
      <c r="D1543" s="174"/>
      <c r="E1543" s="171"/>
      <c r="F1543" s="38" t="s">
        <v>120</v>
      </c>
      <c r="G1543" s="181" t="s">
        <v>502</v>
      </c>
      <c r="H1543" s="38" t="s">
        <v>119</v>
      </c>
      <c r="I1543" s="282">
        <v>0</v>
      </c>
      <c r="J1543" s="282">
        <f>K1543-I1543</f>
        <v>0</v>
      </c>
      <c r="K1543" s="282">
        <v>0</v>
      </c>
      <c r="L1543" s="34"/>
      <c r="M1543" s="34"/>
      <c r="N1543" s="410"/>
      <c r="O1543" s="196"/>
      <c r="Q1543" s="35"/>
      <c r="S1543" s="268"/>
    </row>
    <row r="1544" spans="1:19" ht="20.100000000000001" hidden="1" customHeight="1" x14ac:dyDescent="0.25">
      <c r="A1544" s="174"/>
      <c r="B1544" s="174"/>
      <c r="C1544" s="174"/>
      <c r="D1544" s="174"/>
      <c r="E1544" s="171"/>
      <c r="F1544" s="38" t="s">
        <v>121</v>
      </c>
      <c r="G1544" s="181" t="s">
        <v>502</v>
      </c>
      <c r="H1544" s="38" t="s">
        <v>321</v>
      </c>
      <c r="I1544" s="282">
        <v>0</v>
      </c>
      <c r="J1544" s="282">
        <f>K1544-I1544</f>
        <v>0</v>
      </c>
      <c r="K1544" s="282">
        <v>0</v>
      </c>
      <c r="L1544" s="34"/>
      <c r="M1544" s="34"/>
      <c r="N1544" s="410"/>
      <c r="O1544" s="196"/>
      <c r="Q1544" s="35"/>
      <c r="S1544" s="268"/>
    </row>
    <row r="1545" spans="1:19" ht="38.25" x14ac:dyDescent="0.25">
      <c r="A1545" s="431"/>
      <c r="B1545" s="431"/>
      <c r="C1545" s="431"/>
      <c r="D1545" s="431"/>
      <c r="E1545" s="431"/>
      <c r="F1545" s="431"/>
      <c r="G1545" s="432"/>
      <c r="H1545" s="433" t="s">
        <v>530</v>
      </c>
      <c r="I1545" s="280"/>
      <c r="J1545" s="280"/>
      <c r="K1545" s="280"/>
      <c r="L1545" s="34"/>
      <c r="M1545" s="34"/>
      <c r="N1545" s="410"/>
      <c r="O1545" s="196"/>
      <c r="Q1545" s="35"/>
      <c r="S1545" s="268"/>
    </row>
    <row r="1546" spans="1:19" ht="20.100000000000001" customHeight="1" x14ac:dyDescent="0.25">
      <c r="A1546" s="312"/>
      <c r="B1546" s="312"/>
      <c r="C1546" s="312"/>
      <c r="D1546" s="313"/>
      <c r="E1546" s="312"/>
      <c r="F1546" s="312"/>
      <c r="G1546" s="314"/>
      <c r="H1546" s="315" t="s">
        <v>288</v>
      </c>
      <c r="I1546" s="316"/>
      <c r="J1546" s="316"/>
      <c r="K1546" s="381"/>
      <c r="L1546" s="34"/>
      <c r="M1546" s="34"/>
      <c r="N1546" s="410"/>
      <c r="O1546" s="196"/>
      <c r="Q1546" s="35"/>
      <c r="S1546" s="268"/>
    </row>
    <row r="1547" spans="1:19" ht="20.100000000000001" customHeight="1" x14ac:dyDescent="0.25">
      <c r="A1547" s="317">
        <v>3</v>
      </c>
      <c r="B1547" s="317"/>
      <c r="C1547" s="317"/>
      <c r="D1547" s="42"/>
      <c r="E1547" s="317"/>
      <c r="F1547" s="317"/>
      <c r="G1547" s="318"/>
      <c r="H1547" s="319" t="s">
        <v>81</v>
      </c>
      <c r="I1547" s="365">
        <f t="shared" ref="I1547:K1547" si="286">I1548+I1563</f>
        <v>75187.47</v>
      </c>
      <c r="J1547" s="365">
        <f t="shared" si="286"/>
        <v>-281.86000000000331</v>
      </c>
      <c r="K1547" s="365">
        <f t="shared" si="286"/>
        <v>74905.61</v>
      </c>
      <c r="L1547" s="34"/>
      <c r="M1547" s="34"/>
      <c r="N1547" s="410"/>
      <c r="O1547" s="196"/>
      <c r="Q1547" s="35"/>
      <c r="S1547" s="268"/>
    </row>
    <row r="1548" spans="1:19" ht="20.100000000000001" customHeight="1" x14ac:dyDescent="0.25">
      <c r="A1548" s="317"/>
      <c r="B1548" s="317">
        <v>31</v>
      </c>
      <c r="C1548" s="317"/>
      <c r="D1548" s="42"/>
      <c r="E1548" s="317"/>
      <c r="F1548" s="317"/>
      <c r="G1548" s="328" t="s">
        <v>448</v>
      </c>
      <c r="H1548" s="319" t="s">
        <v>13</v>
      </c>
      <c r="I1548" s="365">
        <f t="shared" ref="I1548:K1548" si="287">I1549+I1559</f>
        <v>40865.35</v>
      </c>
      <c r="J1548" s="365">
        <f t="shared" si="287"/>
        <v>3288.8599999999979</v>
      </c>
      <c r="K1548" s="365">
        <f t="shared" si="287"/>
        <v>44154.21</v>
      </c>
      <c r="L1548" s="34"/>
      <c r="M1548" s="34"/>
      <c r="N1548" s="410"/>
      <c r="O1548" s="196"/>
      <c r="Q1548" s="35"/>
      <c r="S1548" s="268"/>
    </row>
    <row r="1549" spans="1:19" ht="20.100000000000001" hidden="1" customHeight="1" x14ac:dyDescent="0.25">
      <c r="A1549" s="317"/>
      <c r="B1549" s="317"/>
      <c r="C1549" s="317">
        <v>311</v>
      </c>
      <c r="D1549" s="42"/>
      <c r="E1549" s="317"/>
      <c r="F1549" s="317"/>
      <c r="G1549" s="328" t="s">
        <v>448</v>
      </c>
      <c r="H1549" s="319" t="s">
        <v>14</v>
      </c>
      <c r="I1549" s="365">
        <f t="shared" ref="I1549:K1549" si="288">I1550+I1556+I1553</f>
        <v>35100.97</v>
      </c>
      <c r="J1549" s="365">
        <f t="shared" si="288"/>
        <v>2479.239999999998</v>
      </c>
      <c r="K1549" s="365">
        <f t="shared" si="288"/>
        <v>37580.21</v>
      </c>
      <c r="L1549" s="34"/>
      <c r="M1549" s="34"/>
      <c r="N1549" s="410"/>
      <c r="O1549" s="196"/>
      <c r="Q1549" s="35"/>
      <c r="S1549" s="268"/>
    </row>
    <row r="1550" spans="1:19" ht="20.100000000000001" hidden="1" customHeight="1" x14ac:dyDescent="0.25">
      <c r="A1550" s="320"/>
      <c r="B1550" s="320"/>
      <c r="C1550" s="320"/>
      <c r="D1550" s="44">
        <v>3111</v>
      </c>
      <c r="E1550" s="320"/>
      <c r="F1550" s="320"/>
      <c r="G1550" s="321" t="s">
        <v>448</v>
      </c>
      <c r="H1550" s="322" t="s">
        <v>15</v>
      </c>
      <c r="I1550" s="282">
        <f t="shared" ref="I1550:K1551" si="289">I1551</f>
        <v>31376.47</v>
      </c>
      <c r="J1550" s="282">
        <f t="shared" si="289"/>
        <v>2746.739999999998</v>
      </c>
      <c r="K1550" s="282">
        <f t="shared" si="289"/>
        <v>34123.21</v>
      </c>
      <c r="L1550" s="34"/>
      <c r="M1550" s="34"/>
      <c r="N1550" s="410"/>
      <c r="O1550" s="196"/>
      <c r="Q1550" s="35"/>
      <c r="S1550" s="268"/>
    </row>
    <row r="1551" spans="1:19" ht="20.100000000000001" hidden="1" customHeight="1" x14ac:dyDescent="0.25">
      <c r="A1551" s="320"/>
      <c r="B1551" s="320"/>
      <c r="C1551" s="320"/>
      <c r="D1551" s="44"/>
      <c r="E1551" s="38" t="s">
        <v>290</v>
      </c>
      <c r="F1551" s="38"/>
      <c r="G1551" s="328" t="s">
        <v>448</v>
      </c>
      <c r="H1551" s="38" t="s">
        <v>291</v>
      </c>
      <c r="I1551" s="282">
        <f t="shared" si="289"/>
        <v>31376.47</v>
      </c>
      <c r="J1551" s="282">
        <f t="shared" si="289"/>
        <v>2746.739999999998</v>
      </c>
      <c r="K1551" s="366">
        <f t="shared" si="289"/>
        <v>34123.21</v>
      </c>
      <c r="L1551" s="34"/>
      <c r="M1551" s="34"/>
      <c r="N1551" s="410"/>
      <c r="O1551" s="196"/>
      <c r="Q1551" s="35"/>
      <c r="S1551" s="268"/>
    </row>
    <row r="1552" spans="1:19" ht="20.100000000000001" hidden="1" customHeight="1" x14ac:dyDescent="0.25">
      <c r="A1552" s="324"/>
      <c r="B1552" s="324"/>
      <c r="C1552" s="320"/>
      <c r="D1552" s="44"/>
      <c r="E1552" s="38"/>
      <c r="F1552" s="385" t="s">
        <v>292</v>
      </c>
      <c r="G1552" s="386" t="s">
        <v>448</v>
      </c>
      <c r="H1552" s="385" t="s">
        <v>291</v>
      </c>
      <c r="I1552" s="380">
        <v>31376.47</v>
      </c>
      <c r="J1552" s="380">
        <f>K1552-I1552</f>
        <v>2746.739999999998</v>
      </c>
      <c r="K1552" s="380">
        <f>34014.74+108.47</f>
        <v>34123.21</v>
      </c>
      <c r="L1552" s="34"/>
      <c r="M1552" s="34"/>
      <c r="N1552" s="410"/>
      <c r="O1552" s="196"/>
      <c r="Q1552" s="35"/>
      <c r="S1552" s="268"/>
    </row>
    <row r="1553" spans="1:19" ht="20.100000000000001" hidden="1" customHeight="1" x14ac:dyDescent="0.25">
      <c r="A1553" s="324"/>
      <c r="B1553" s="324"/>
      <c r="C1553" s="320"/>
      <c r="D1553" s="44">
        <v>3113</v>
      </c>
      <c r="E1553" s="38"/>
      <c r="F1553" s="38"/>
      <c r="G1553" s="328" t="s">
        <v>448</v>
      </c>
      <c r="H1553" s="38" t="s">
        <v>16</v>
      </c>
      <c r="I1553" s="282">
        <f t="shared" ref="I1553:K1554" si="290">I1554</f>
        <v>0</v>
      </c>
      <c r="J1553" s="282">
        <f t="shared" si="290"/>
        <v>0</v>
      </c>
      <c r="K1553" s="282">
        <f t="shared" si="290"/>
        <v>0</v>
      </c>
      <c r="L1553" s="34"/>
      <c r="M1553" s="34"/>
      <c r="N1553" s="410"/>
      <c r="O1553" s="196"/>
      <c r="Q1553" s="35"/>
      <c r="S1553" s="268"/>
    </row>
    <row r="1554" spans="1:19" ht="20.100000000000001" hidden="1" customHeight="1" x14ac:dyDescent="0.25">
      <c r="A1554" s="324"/>
      <c r="B1554" s="324"/>
      <c r="C1554" s="320"/>
      <c r="D1554" s="44"/>
      <c r="E1554" s="38" t="s">
        <v>293</v>
      </c>
      <c r="F1554" s="38"/>
      <c r="G1554" s="328" t="s">
        <v>448</v>
      </c>
      <c r="H1554" s="38" t="s">
        <v>16</v>
      </c>
      <c r="I1554" s="282">
        <f t="shared" si="290"/>
        <v>0</v>
      </c>
      <c r="J1554" s="282">
        <f t="shared" si="290"/>
        <v>0</v>
      </c>
      <c r="K1554" s="282">
        <f t="shared" si="290"/>
        <v>0</v>
      </c>
      <c r="L1554" s="34"/>
      <c r="M1554" s="34"/>
      <c r="N1554" s="410"/>
      <c r="O1554" s="196"/>
      <c r="Q1554" s="35"/>
      <c r="S1554" s="268"/>
    </row>
    <row r="1555" spans="1:19" ht="20.100000000000001" hidden="1" customHeight="1" x14ac:dyDescent="0.25">
      <c r="A1555" s="324"/>
      <c r="B1555" s="324"/>
      <c r="C1555" s="320"/>
      <c r="D1555" s="44"/>
      <c r="E1555" s="38"/>
      <c r="F1555" s="38" t="s">
        <v>294</v>
      </c>
      <c r="G1555" s="328" t="s">
        <v>448</v>
      </c>
      <c r="H1555" s="38" t="s">
        <v>16</v>
      </c>
      <c r="I1555" s="282">
        <v>0</v>
      </c>
      <c r="J1555" s="282">
        <v>0</v>
      </c>
      <c r="K1555" s="282">
        <v>0</v>
      </c>
      <c r="L1555" s="34"/>
      <c r="M1555" s="34"/>
      <c r="N1555" s="410"/>
      <c r="O1555" s="196"/>
      <c r="Q1555" s="35"/>
      <c r="S1555" s="268"/>
    </row>
    <row r="1556" spans="1:19" ht="20.100000000000001" hidden="1" customHeight="1" x14ac:dyDescent="0.25">
      <c r="A1556" s="320"/>
      <c r="B1556" s="320"/>
      <c r="C1556" s="320"/>
      <c r="D1556" s="44">
        <v>3114</v>
      </c>
      <c r="E1556" s="320"/>
      <c r="F1556" s="44"/>
      <c r="G1556" s="328" t="s">
        <v>448</v>
      </c>
      <c r="H1556" s="38" t="s">
        <v>17</v>
      </c>
      <c r="I1556" s="282">
        <f t="shared" ref="I1556:M1557" si="291">I1557</f>
        <v>3724.5</v>
      </c>
      <c r="J1556" s="282">
        <f t="shared" si="291"/>
        <v>-267.5</v>
      </c>
      <c r="K1556" s="366">
        <f t="shared" si="291"/>
        <v>3457</v>
      </c>
      <c r="L1556" s="323">
        <f t="shared" si="291"/>
        <v>0</v>
      </c>
      <c r="M1556" s="323">
        <f t="shared" si="291"/>
        <v>0</v>
      </c>
      <c r="N1556" s="410"/>
      <c r="O1556" s="196"/>
      <c r="Q1556" s="35"/>
      <c r="S1556" s="268"/>
    </row>
    <row r="1557" spans="1:19" ht="20.100000000000001" hidden="1" customHeight="1" x14ac:dyDescent="0.25">
      <c r="A1557" s="320"/>
      <c r="B1557" s="320"/>
      <c r="C1557" s="320"/>
      <c r="D1557" s="44"/>
      <c r="E1557" s="38" t="s">
        <v>295</v>
      </c>
      <c r="F1557" s="38"/>
      <c r="G1557" s="328" t="s">
        <v>448</v>
      </c>
      <c r="H1557" s="38" t="s">
        <v>17</v>
      </c>
      <c r="I1557" s="282">
        <f t="shared" si="291"/>
        <v>3724.5</v>
      </c>
      <c r="J1557" s="282">
        <f t="shared" si="291"/>
        <v>-267.5</v>
      </c>
      <c r="K1557" s="366">
        <f t="shared" si="291"/>
        <v>3457</v>
      </c>
      <c r="L1557" s="34"/>
      <c r="M1557" s="34"/>
      <c r="N1557" s="410"/>
      <c r="O1557" s="196"/>
      <c r="Q1557" s="35"/>
      <c r="S1557" s="268"/>
    </row>
    <row r="1558" spans="1:19" ht="20.100000000000001" hidden="1" customHeight="1" x14ac:dyDescent="0.25">
      <c r="A1558" s="324"/>
      <c r="B1558" s="324"/>
      <c r="C1558" s="320"/>
      <c r="D1558" s="44"/>
      <c r="E1558" s="38"/>
      <c r="F1558" s="385" t="s">
        <v>296</v>
      </c>
      <c r="G1558" s="386" t="s">
        <v>448</v>
      </c>
      <c r="H1558" s="385" t="s">
        <v>17</v>
      </c>
      <c r="I1558" s="380">
        <v>3724.5</v>
      </c>
      <c r="J1558" s="380">
        <f>K1558-I1558</f>
        <v>-267.5</v>
      </c>
      <c r="K1558" s="380">
        <f>3450+7</f>
        <v>3457</v>
      </c>
      <c r="L1558" s="34"/>
      <c r="M1558" s="34"/>
      <c r="N1558" s="410"/>
      <c r="O1558" s="196"/>
      <c r="Q1558" s="35"/>
      <c r="S1558" s="268"/>
    </row>
    <row r="1559" spans="1:19" ht="20.100000000000001" hidden="1" customHeight="1" x14ac:dyDescent="0.25">
      <c r="A1559" s="317"/>
      <c r="B1559" s="317"/>
      <c r="C1559" s="317">
        <v>313</v>
      </c>
      <c r="D1559" s="42"/>
      <c r="E1559" s="317"/>
      <c r="F1559" s="42"/>
      <c r="G1559" s="328" t="s">
        <v>448</v>
      </c>
      <c r="H1559" s="43" t="s">
        <v>100</v>
      </c>
      <c r="I1559" s="281">
        <f t="shared" ref="I1559:K1561" si="292">I1560</f>
        <v>5764.38</v>
      </c>
      <c r="J1559" s="281">
        <f t="shared" si="292"/>
        <v>809.61999999999989</v>
      </c>
      <c r="K1559" s="281">
        <f t="shared" si="292"/>
        <v>6574</v>
      </c>
      <c r="L1559" s="34"/>
      <c r="M1559" s="34"/>
      <c r="N1559" s="410"/>
      <c r="O1559" s="196"/>
      <c r="Q1559" s="35"/>
      <c r="S1559" s="268"/>
    </row>
    <row r="1560" spans="1:19" ht="20.100000000000001" hidden="1" customHeight="1" x14ac:dyDescent="0.25">
      <c r="A1560" s="320"/>
      <c r="B1560" s="320"/>
      <c r="C1560" s="320"/>
      <c r="D1560" s="44">
        <v>3132</v>
      </c>
      <c r="E1560" s="320"/>
      <c r="F1560" s="44"/>
      <c r="G1560" s="328" t="s">
        <v>448</v>
      </c>
      <c r="H1560" s="38" t="s">
        <v>20</v>
      </c>
      <c r="I1560" s="282">
        <f t="shared" si="292"/>
        <v>5764.38</v>
      </c>
      <c r="J1560" s="282">
        <f t="shared" si="292"/>
        <v>809.61999999999989</v>
      </c>
      <c r="K1560" s="282">
        <f t="shared" si="292"/>
        <v>6574</v>
      </c>
      <c r="L1560" s="34"/>
      <c r="M1560" s="34"/>
      <c r="N1560" s="410"/>
      <c r="O1560" s="196"/>
      <c r="Q1560" s="35"/>
      <c r="S1560" s="268"/>
    </row>
    <row r="1561" spans="1:19" ht="20.100000000000001" hidden="1" customHeight="1" x14ac:dyDescent="0.25">
      <c r="A1561" s="320"/>
      <c r="B1561" s="320"/>
      <c r="C1561" s="320"/>
      <c r="D1561" s="44"/>
      <c r="E1561" s="38" t="s">
        <v>300</v>
      </c>
      <c r="F1561" s="38"/>
      <c r="G1561" s="328" t="s">
        <v>448</v>
      </c>
      <c r="H1561" s="38" t="s">
        <v>20</v>
      </c>
      <c r="I1561" s="282">
        <f t="shared" si="292"/>
        <v>5764.38</v>
      </c>
      <c r="J1561" s="282">
        <f t="shared" si="292"/>
        <v>809.61999999999989</v>
      </c>
      <c r="K1561" s="366">
        <f t="shared" si="292"/>
        <v>6574</v>
      </c>
      <c r="L1561" s="34"/>
      <c r="M1561" s="34"/>
      <c r="N1561" s="410"/>
      <c r="O1561" s="196"/>
      <c r="Q1561" s="35"/>
      <c r="S1561" s="268"/>
    </row>
    <row r="1562" spans="1:19" ht="20.100000000000001" hidden="1" customHeight="1" x14ac:dyDescent="0.25">
      <c r="A1562" s="324"/>
      <c r="B1562" s="324"/>
      <c r="C1562" s="320"/>
      <c r="D1562" s="44"/>
      <c r="E1562" s="38"/>
      <c r="F1562" s="385" t="s">
        <v>301</v>
      </c>
      <c r="G1562" s="386" t="s">
        <v>448</v>
      </c>
      <c r="H1562" s="385" t="s">
        <v>20</v>
      </c>
      <c r="I1562" s="380">
        <v>5764.38</v>
      </c>
      <c r="J1562" s="380">
        <f>K1562-I1562</f>
        <v>809.61999999999989</v>
      </c>
      <c r="K1562" s="380">
        <f>6550+24</f>
        <v>6574</v>
      </c>
      <c r="L1562" s="34"/>
      <c r="M1562" s="34"/>
      <c r="N1562" s="410"/>
      <c r="O1562" s="196"/>
      <c r="Q1562" s="35"/>
      <c r="S1562" s="268"/>
    </row>
    <row r="1563" spans="1:19" ht="20.100000000000001" customHeight="1" x14ac:dyDescent="0.25">
      <c r="A1563" s="317"/>
      <c r="B1563" s="317">
        <v>32</v>
      </c>
      <c r="C1563" s="317"/>
      <c r="D1563" s="42"/>
      <c r="E1563" s="317"/>
      <c r="F1563" s="42"/>
      <c r="G1563" s="328" t="s">
        <v>448</v>
      </c>
      <c r="H1563" s="43" t="s">
        <v>22</v>
      </c>
      <c r="I1563" s="281">
        <f t="shared" ref="I1563:K1563" si="293">I1564+I1580+I1602+I1633</f>
        <v>34322.120000000003</v>
      </c>
      <c r="J1563" s="281">
        <f t="shared" si="293"/>
        <v>-3570.7200000000012</v>
      </c>
      <c r="K1563" s="281">
        <f t="shared" si="293"/>
        <v>30751.4</v>
      </c>
      <c r="L1563" s="34"/>
      <c r="M1563" s="34"/>
      <c r="N1563" s="410"/>
      <c r="O1563" s="196"/>
      <c r="Q1563" s="35"/>
      <c r="S1563" s="268"/>
    </row>
    <row r="1564" spans="1:19" ht="20.100000000000001" hidden="1" customHeight="1" x14ac:dyDescent="0.25">
      <c r="A1564" s="325"/>
      <c r="B1564" s="325"/>
      <c r="C1564" s="325">
        <v>321</v>
      </c>
      <c r="D1564" s="42"/>
      <c r="E1564" s="325"/>
      <c r="F1564" s="42"/>
      <c r="G1564" s="328" t="s">
        <v>448</v>
      </c>
      <c r="H1564" s="43" t="s">
        <v>23</v>
      </c>
      <c r="I1564" s="372">
        <f t="shared" ref="I1564:K1564" si="294">I1565+I1574+I1577</f>
        <v>663.61</v>
      </c>
      <c r="J1564" s="372">
        <f t="shared" si="294"/>
        <v>53.239999999999981</v>
      </c>
      <c r="K1564" s="372">
        <f t="shared" si="294"/>
        <v>716.84999999999991</v>
      </c>
      <c r="L1564" s="34"/>
      <c r="M1564" s="34"/>
      <c r="N1564" s="410"/>
      <c r="O1564" s="196"/>
      <c r="Q1564" s="35"/>
      <c r="S1564" s="268"/>
    </row>
    <row r="1565" spans="1:19" ht="20.100000000000001" hidden="1" customHeight="1" x14ac:dyDescent="0.25">
      <c r="A1565" s="320"/>
      <c r="B1565" s="320"/>
      <c r="C1565" s="320"/>
      <c r="D1565" s="44">
        <v>3211</v>
      </c>
      <c r="E1565" s="320"/>
      <c r="F1565" s="44"/>
      <c r="G1565" s="328" t="s">
        <v>448</v>
      </c>
      <c r="H1565" s="38" t="s">
        <v>24</v>
      </c>
      <c r="I1565" s="282">
        <f t="shared" ref="I1565:K1565" si="295">I1566+I1568+I1570+I1572</f>
        <v>199.08</v>
      </c>
      <c r="J1565" s="282">
        <f t="shared" si="295"/>
        <v>-13.760000000000019</v>
      </c>
      <c r="K1565" s="366">
        <f t="shared" si="295"/>
        <v>185.32</v>
      </c>
      <c r="L1565" s="34"/>
      <c r="M1565" s="34"/>
      <c r="N1565" s="410"/>
      <c r="O1565" s="196"/>
      <c r="Q1565" s="35"/>
      <c r="S1565" s="268"/>
    </row>
    <row r="1566" spans="1:19" ht="20.100000000000001" hidden="1" customHeight="1" x14ac:dyDescent="0.25">
      <c r="A1566" s="320"/>
      <c r="B1566" s="320"/>
      <c r="C1566" s="320"/>
      <c r="D1566" s="44"/>
      <c r="E1566" s="38" t="s">
        <v>306</v>
      </c>
      <c r="F1566" s="38"/>
      <c r="G1566" s="328" t="s">
        <v>448</v>
      </c>
      <c r="H1566" s="38" t="s">
        <v>102</v>
      </c>
      <c r="I1566" s="282">
        <f t="shared" ref="I1566:K1566" si="296">I1567</f>
        <v>0</v>
      </c>
      <c r="J1566" s="282">
        <f t="shared" si="296"/>
        <v>0</v>
      </c>
      <c r="K1566" s="366">
        <f t="shared" si="296"/>
        <v>0</v>
      </c>
      <c r="L1566" s="34"/>
      <c r="M1566" s="34"/>
      <c r="N1566" s="410"/>
      <c r="O1566" s="196"/>
      <c r="Q1566" s="35"/>
      <c r="S1566" s="268"/>
    </row>
    <row r="1567" spans="1:19" ht="20.100000000000001" hidden="1" customHeight="1" x14ac:dyDescent="0.25">
      <c r="A1567" s="257"/>
      <c r="B1567" s="324"/>
      <c r="C1567" s="320"/>
      <c r="D1567" s="44"/>
      <c r="E1567" s="38"/>
      <c r="F1567" s="38" t="s">
        <v>307</v>
      </c>
      <c r="G1567" s="328" t="s">
        <v>448</v>
      </c>
      <c r="H1567" s="38" t="s">
        <v>102</v>
      </c>
      <c r="I1567" s="282">
        <v>0</v>
      </c>
      <c r="J1567" s="282">
        <f>K1567-I1567</f>
        <v>0</v>
      </c>
      <c r="K1567" s="282">
        <v>0</v>
      </c>
      <c r="L1567" s="34"/>
      <c r="M1567" s="34"/>
      <c r="N1567" s="410"/>
      <c r="O1567" s="196"/>
      <c r="Q1567" s="35"/>
      <c r="S1567" s="268"/>
    </row>
    <row r="1568" spans="1:19" ht="26.25" hidden="1" customHeight="1" x14ac:dyDescent="0.25">
      <c r="A1568" s="320"/>
      <c r="B1568" s="320"/>
      <c r="C1568" s="320"/>
      <c r="D1568" s="44"/>
      <c r="E1568" s="38" t="s">
        <v>308</v>
      </c>
      <c r="F1568" s="38"/>
      <c r="G1568" s="328" t="s">
        <v>448</v>
      </c>
      <c r="H1568" s="38" t="s">
        <v>103</v>
      </c>
      <c r="I1568" s="282">
        <f t="shared" ref="I1568:K1568" si="297">I1569</f>
        <v>199.08</v>
      </c>
      <c r="J1568" s="282">
        <f t="shared" si="297"/>
        <v>-13.760000000000019</v>
      </c>
      <c r="K1568" s="366">
        <f t="shared" si="297"/>
        <v>185.32</v>
      </c>
      <c r="L1568" s="34"/>
      <c r="M1568" s="34"/>
      <c r="N1568" s="410"/>
      <c r="O1568" s="196"/>
      <c r="Q1568" s="35"/>
      <c r="S1568" s="268"/>
    </row>
    <row r="1569" spans="1:19" ht="32.1" hidden="1" customHeight="1" x14ac:dyDescent="0.25">
      <c r="A1569" s="320"/>
      <c r="B1569" s="320"/>
      <c r="C1569" s="320"/>
      <c r="D1569" s="44"/>
      <c r="E1569" s="38"/>
      <c r="F1569" s="382" t="s">
        <v>309</v>
      </c>
      <c r="G1569" s="387" t="s">
        <v>448</v>
      </c>
      <c r="H1569" s="382" t="s">
        <v>103</v>
      </c>
      <c r="I1569" s="381">
        <v>199.08</v>
      </c>
      <c r="J1569" s="381">
        <f>K1569-I1569</f>
        <v>-13.760000000000019</v>
      </c>
      <c r="K1569" s="381">
        <v>185.32</v>
      </c>
      <c r="L1569" s="34"/>
      <c r="M1569" s="34"/>
      <c r="N1569" s="410"/>
      <c r="O1569" s="196"/>
      <c r="Q1569" s="35"/>
      <c r="S1569" s="268"/>
    </row>
    <row r="1570" spans="1:19" ht="32.1" hidden="1" customHeight="1" x14ac:dyDescent="0.25">
      <c r="A1570" s="320"/>
      <c r="B1570" s="320"/>
      <c r="C1570" s="320"/>
      <c r="D1570" s="44"/>
      <c r="E1570" s="38" t="s">
        <v>310</v>
      </c>
      <c r="F1570" s="38"/>
      <c r="G1570" s="328" t="s">
        <v>448</v>
      </c>
      <c r="H1570" s="38" t="s">
        <v>351</v>
      </c>
      <c r="I1570" s="282">
        <f t="shared" ref="I1570:K1570" si="298">I1571</f>
        <v>0</v>
      </c>
      <c r="J1570" s="282">
        <f t="shared" si="298"/>
        <v>0</v>
      </c>
      <c r="K1570" s="366">
        <f t="shared" si="298"/>
        <v>0</v>
      </c>
      <c r="L1570" s="34"/>
      <c r="M1570" s="34"/>
      <c r="N1570" s="410"/>
      <c r="O1570" s="196"/>
      <c r="Q1570" s="35"/>
      <c r="S1570" s="268"/>
    </row>
    <row r="1571" spans="1:19" ht="32.1" hidden="1" customHeight="1" x14ac:dyDescent="0.25">
      <c r="A1571" s="257"/>
      <c r="B1571" s="324"/>
      <c r="C1571" s="320"/>
      <c r="D1571" s="44"/>
      <c r="E1571" s="38"/>
      <c r="F1571" s="38" t="s">
        <v>311</v>
      </c>
      <c r="G1571" s="328" t="s">
        <v>448</v>
      </c>
      <c r="H1571" s="38" t="s">
        <v>104</v>
      </c>
      <c r="I1571" s="282">
        <v>0</v>
      </c>
      <c r="J1571" s="282">
        <v>0</v>
      </c>
      <c r="K1571" s="366">
        <v>0</v>
      </c>
      <c r="L1571" s="34"/>
      <c r="M1571" s="34"/>
      <c r="N1571" s="410"/>
      <c r="O1571" s="196"/>
      <c r="Q1571" s="35"/>
      <c r="S1571" s="268"/>
    </row>
    <row r="1572" spans="1:19" ht="20.100000000000001" hidden="1" customHeight="1" x14ac:dyDescent="0.25">
      <c r="A1572" s="320"/>
      <c r="B1572" s="320"/>
      <c r="C1572" s="320"/>
      <c r="D1572" s="44"/>
      <c r="E1572" s="38" t="s">
        <v>312</v>
      </c>
      <c r="F1572" s="38"/>
      <c r="G1572" s="328">
        <v>55</v>
      </c>
      <c r="H1572" s="38" t="s">
        <v>105</v>
      </c>
      <c r="I1572" s="282">
        <f t="shared" ref="I1572:K1572" si="299">I1573</f>
        <v>0</v>
      </c>
      <c r="J1572" s="282">
        <f t="shared" si="299"/>
        <v>0</v>
      </c>
      <c r="K1572" s="366">
        <f t="shared" si="299"/>
        <v>0</v>
      </c>
      <c r="L1572" s="34"/>
      <c r="M1572" s="34"/>
      <c r="N1572" s="410"/>
      <c r="O1572" s="196"/>
      <c r="Q1572" s="35"/>
      <c r="S1572" s="268"/>
    </row>
    <row r="1573" spans="1:19" ht="20.100000000000001" hidden="1" customHeight="1" x14ac:dyDescent="0.25">
      <c r="A1573" s="320"/>
      <c r="B1573" s="320"/>
      <c r="C1573" s="320"/>
      <c r="D1573" s="44"/>
      <c r="E1573" s="38"/>
      <c r="F1573" s="38" t="s">
        <v>313</v>
      </c>
      <c r="G1573" s="321">
        <v>55</v>
      </c>
      <c r="H1573" s="38" t="s">
        <v>105</v>
      </c>
      <c r="I1573" s="366">
        <v>0</v>
      </c>
      <c r="J1573" s="366">
        <f>K1573-I1573</f>
        <v>0</v>
      </c>
      <c r="K1573" s="282">
        <v>0</v>
      </c>
      <c r="L1573" s="34"/>
      <c r="M1573" s="34"/>
      <c r="N1573" s="410"/>
      <c r="O1573" s="196"/>
      <c r="Q1573" s="35"/>
      <c r="S1573" s="268"/>
    </row>
    <row r="1574" spans="1:19" ht="32.1" hidden="1" customHeight="1" x14ac:dyDescent="0.25">
      <c r="A1574" s="320"/>
      <c r="B1574" s="320"/>
      <c r="C1574" s="320"/>
      <c r="D1574" s="44">
        <v>3212</v>
      </c>
      <c r="E1574" s="320"/>
      <c r="F1574" s="44"/>
      <c r="G1574" s="328" t="s">
        <v>448</v>
      </c>
      <c r="H1574" s="38" t="s">
        <v>25</v>
      </c>
      <c r="I1574" s="282">
        <f t="shared" ref="I1574:K1575" si="300">I1575</f>
        <v>464.53</v>
      </c>
      <c r="J1574" s="282">
        <f t="shared" si="300"/>
        <v>17</v>
      </c>
      <c r="K1574" s="366">
        <f t="shared" si="300"/>
        <v>481.53</v>
      </c>
      <c r="L1574" s="34"/>
      <c r="M1574" s="34"/>
      <c r="N1574" s="410"/>
      <c r="O1574" s="196"/>
      <c r="Q1574" s="35"/>
      <c r="S1574" s="268"/>
    </row>
    <row r="1575" spans="1:19" ht="20.100000000000001" hidden="1" customHeight="1" x14ac:dyDescent="0.25">
      <c r="A1575" s="320"/>
      <c r="B1575" s="320"/>
      <c r="C1575" s="320"/>
      <c r="D1575" s="44"/>
      <c r="E1575" s="38" t="s">
        <v>314</v>
      </c>
      <c r="F1575" s="38"/>
      <c r="G1575" s="328" t="s">
        <v>448</v>
      </c>
      <c r="H1575" s="38" t="s">
        <v>106</v>
      </c>
      <c r="I1575" s="282">
        <f t="shared" si="300"/>
        <v>464.53</v>
      </c>
      <c r="J1575" s="282">
        <f t="shared" si="300"/>
        <v>17</v>
      </c>
      <c r="K1575" s="366">
        <f t="shared" si="300"/>
        <v>481.53</v>
      </c>
      <c r="L1575" s="34"/>
      <c r="M1575" s="34"/>
      <c r="N1575" s="410"/>
      <c r="O1575" s="196"/>
      <c r="Q1575" s="35"/>
      <c r="S1575" s="268"/>
    </row>
    <row r="1576" spans="1:19" ht="20.100000000000001" hidden="1" customHeight="1" x14ac:dyDescent="0.25">
      <c r="A1576" s="324"/>
      <c r="B1576" s="324"/>
      <c r="C1576" s="320"/>
      <c r="D1576" s="44"/>
      <c r="E1576" s="38"/>
      <c r="F1576" s="385" t="s">
        <v>315</v>
      </c>
      <c r="G1576" s="386" t="s">
        <v>448</v>
      </c>
      <c r="H1576" s="385" t="s">
        <v>106</v>
      </c>
      <c r="I1576" s="380">
        <v>464.53</v>
      </c>
      <c r="J1576" s="380">
        <f>K1576-I1576</f>
        <v>17</v>
      </c>
      <c r="K1576" s="380">
        <f>331.53+150</f>
        <v>481.53</v>
      </c>
      <c r="L1576" s="34"/>
      <c r="M1576" s="34"/>
      <c r="N1576" s="410"/>
      <c r="O1576" s="196"/>
      <c r="Q1576" s="35"/>
      <c r="S1576" s="268"/>
    </row>
    <row r="1577" spans="1:19" ht="20.100000000000001" hidden="1" customHeight="1" x14ac:dyDescent="0.25">
      <c r="A1577" s="320"/>
      <c r="B1577" s="320"/>
      <c r="C1577" s="320"/>
      <c r="D1577" s="44">
        <v>3213</v>
      </c>
      <c r="E1577" s="320"/>
      <c r="F1577" s="44"/>
      <c r="G1577" s="328" t="s">
        <v>448</v>
      </c>
      <c r="H1577" s="38" t="s">
        <v>26</v>
      </c>
      <c r="I1577" s="282">
        <f t="shared" ref="I1577:K1578" si="301">I1578</f>
        <v>0</v>
      </c>
      <c r="J1577" s="282">
        <f t="shared" si="301"/>
        <v>50</v>
      </c>
      <c r="K1577" s="366">
        <f t="shared" si="301"/>
        <v>50</v>
      </c>
      <c r="L1577" s="34"/>
      <c r="M1577" s="34"/>
      <c r="N1577" s="410"/>
      <c r="O1577" s="196"/>
      <c r="Q1577" s="35"/>
      <c r="S1577" s="268"/>
    </row>
    <row r="1578" spans="1:19" ht="20.100000000000001" hidden="1" customHeight="1" x14ac:dyDescent="0.25">
      <c r="A1578" s="320"/>
      <c r="B1578" s="320"/>
      <c r="C1578" s="320"/>
      <c r="D1578" s="44"/>
      <c r="E1578" s="38" t="s">
        <v>108</v>
      </c>
      <c r="F1578" s="38"/>
      <c r="G1578" s="328" t="s">
        <v>448</v>
      </c>
      <c r="H1578" s="38" t="s">
        <v>109</v>
      </c>
      <c r="I1578" s="282">
        <f t="shared" si="301"/>
        <v>0</v>
      </c>
      <c r="J1578" s="282">
        <f t="shared" si="301"/>
        <v>50</v>
      </c>
      <c r="K1578" s="366">
        <f t="shared" si="301"/>
        <v>50</v>
      </c>
      <c r="L1578" s="34"/>
      <c r="M1578" s="34"/>
      <c r="N1578" s="410"/>
      <c r="O1578" s="196"/>
      <c r="Q1578" s="35"/>
      <c r="S1578" s="268"/>
    </row>
    <row r="1579" spans="1:19" ht="20.100000000000001" hidden="1" customHeight="1" x14ac:dyDescent="0.25">
      <c r="A1579" s="320"/>
      <c r="B1579" s="320"/>
      <c r="C1579" s="320"/>
      <c r="D1579" s="44"/>
      <c r="E1579" s="38"/>
      <c r="F1579" s="382" t="s">
        <v>110</v>
      </c>
      <c r="G1579" s="387" t="s">
        <v>448</v>
      </c>
      <c r="H1579" s="382" t="s">
        <v>319</v>
      </c>
      <c r="I1579" s="381">
        <v>0</v>
      </c>
      <c r="J1579" s="381">
        <f>K1579-I1579</f>
        <v>50</v>
      </c>
      <c r="K1579" s="381">
        <v>50</v>
      </c>
      <c r="L1579" s="34"/>
      <c r="M1579" s="34"/>
      <c r="N1579" s="410"/>
      <c r="O1579" s="196"/>
      <c r="Q1579" s="35"/>
      <c r="S1579" s="268"/>
    </row>
    <row r="1580" spans="1:19" ht="20.100000000000001" hidden="1" customHeight="1" x14ac:dyDescent="0.25">
      <c r="A1580" s="317"/>
      <c r="B1580" s="317"/>
      <c r="C1580" s="317">
        <v>322</v>
      </c>
      <c r="D1580" s="42"/>
      <c r="E1580" s="317"/>
      <c r="F1580" s="42"/>
      <c r="G1580" s="328" t="s">
        <v>448</v>
      </c>
      <c r="H1580" s="43" t="s">
        <v>27</v>
      </c>
      <c r="I1580" s="281">
        <f t="shared" ref="I1580:K1580" si="302">I1581+I1591+I1599</f>
        <v>3318.0600000000004</v>
      </c>
      <c r="J1580" s="281">
        <f t="shared" si="302"/>
        <v>-597.25</v>
      </c>
      <c r="K1580" s="281">
        <f t="shared" si="302"/>
        <v>2720.8100000000004</v>
      </c>
      <c r="L1580" s="34"/>
      <c r="M1580" s="34"/>
      <c r="N1580" s="410"/>
      <c r="O1580" s="196"/>
      <c r="Q1580" s="35"/>
      <c r="S1580" s="268"/>
    </row>
    <row r="1581" spans="1:19" ht="20.100000000000001" hidden="1" customHeight="1" x14ac:dyDescent="0.25">
      <c r="A1581" s="320"/>
      <c r="B1581" s="320"/>
      <c r="C1581" s="320"/>
      <c r="D1581" s="44">
        <v>3221</v>
      </c>
      <c r="E1581" s="320"/>
      <c r="F1581" s="44"/>
      <c r="G1581" s="328" t="s">
        <v>448</v>
      </c>
      <c r="H1581" s="38" t="s">
        <v>117</v>
      </c>
      <c r="I1581" s="282">
        <f t="shared" ref="I1581:K1581" si="303">I1582+I1585+I1587+I1589</f>
        <v>331.8</v>
      </c>
      <c r="J1581" s="282">
        <f t="shared" si="303"/>
        <v>0</v>
      </c>
      <c r="K1581" s="282">
        <f t="shared" si="303"/>
        <v>331.8</v>
      </c>
      <c r="L1581" s="34"/>
      <c r="M1581" s="34"/>
      <c r="N1581" s="410"/>
      <c r="O1581" s="196"/>
      <c r="Q1581" s="35"/>
      <c r="S1581" s="268"/>
    </row>
    <row r="1582" spans="1:19" ht="20.100000000000001" hidden="1" customHeight="1" x14ac:dyDescent="0.25">
      <c r="A1582" s="320"/>
      <c r="B1582" s="320"/>
      <c r="C1582" s="320"/>
      <c r="D1582" s="44"/>
      <c r="E1582" s="38" t="s">
        <v>118</v>
      </c>
      <c r="F1582" s="38"/>
      <c r="G1582" s="328" t="s">
        <v>448</v>
      </c>
      <c r="H1582" s="38" t="s">
        <v>119</v>
      </c>
      <c r="I1582" s="282">
        <f t="shared" ref="I1582:K1582" si="304">I1583+I1584</f>
        <v>132.72</v>
      </c>
      <c r="J1582" s="282">
        <f t="shared" si="304"/>
        <v>0</v>
      </c>
      <c r="K1582" s="366">
        <f t="shared" si="304"/>
        <v>132.72</v>
      </c>
      <c r="L1582" s="34"/>
      <c r="M1582" s="34"/>
      <c r="N1582" s="410"/>
      <c r="O1582" s="196"/>
      <c r="Q1582" s="35"/>
      <c r="S1582" s="268"/>
    </row>
    <row r="1583" spans="1:19" ht="20.100000000000001" hidden="1" customHeight="1" x14ac:dyDescent="0.25">
      <c r="A1583" s="324"/>
      <c r="B1583" s="324"/>
      <c r="C1583" s="320"/>
      <c r="D1583" s="44"/>
      <c r="E1583" s="38"/>
      <c r="F1583" s="382" t="s">
        <v>120</v>
      </c>
      <c r="G1583" s="387" t="s">
        <v>448</v>
      </c>
      <c r="H1583" s="382" t="s">
        <v>119</v>
      </c>
      <c r="I1583" s="381">
        <v>100</v>
      </c>
      <c r="J1583" s="381">
        <f>K1583-I1583</f>
        <v>0</v>
      </c>
      <c r="K1583" s="381">
        <v>100</v>
      </c>
      <c r="L1583" s="34"/>
      <c r="M1583" s="34"/>
      <c r="N1583" s="410"/>
      <c r="O1583" s="196"/>
      <c r="Q1583" s="35"/>
      <c r="S1583" s="268"/>
    </row>
    <row r="1584" spans="1:19" ht="20.100000000000001" hidden="1" customHeight="1" x14ac:dyDescent="0.25">
      <c r="A1584" s="324"/>
      <c r="B1584" s="324"/>
      <c r="C1584" s="320"/>
      <c r="D1584" s="44"/>
      <c r="E1584" s="38"/>
      <c r="F1584" s="382" t="s">
        <v>121</v>
      </c>
      <c r="G1584" s="387" t="s">
        <v>448</v>
      </c>
      <c r="H1584" s="382" t="s">
        <v>321</v>
      </c>
      <c r="I1584" s="381">
        <v>32.72</v>
      </c>
      <c r="J1584" s="381">
        <f>K1584-I1584</f>
        <v>0</v>
      </c>
      <c r="K1584" s="381">
        <v>32.72</v>
      </c>
      <c r="L1584" s="34"/>
      <c r="M1584" s="34"/>
      <c r="N1584" s="410"/>
      <c r="O1584" s="196"/>
      <c r="Q1584" s="35"/>
      <c r="S1584" s="268"/>
    </row>
    <row r="1585" spans="1:19" ht="32.1" hidden="1" customHeight="1" x14ac:dyDescent="0.25">
      <c r="A1585" s="320"/>
      <c r="B1585" s="320"/>
      <c r="C1585" s="320"/>
      <c r="D1585" s="44"/>
      <c r="E1585" s="38" t="s">
        <v>123</v>
      </c>
      <c r="F1585" s="38"/>
      <c r="G1585" s="328" t="s">
        <v>448</v>
      </c>
      <c r="H1585" s="38" t="s">
        <v>124</v>
      </c>
      <c r="I1585" s="282">
        <f t="shared" ref="I1585:K1585" si="305">I1586</f>
        <v>0</v>
      </c>
      <c r="J1585" s="282">
        <f t="shared" si="305"/>
        <v>0</v>
      </c>
      <c r="K1585" s="366">
        <f t="shared" si="305"/>
        <v>0</v>
      </c>
      <c r="L1585" s="34"/>
      <c r="M1585" s="34"/>
      <c r="N1585" s="410"/>
      <c r="O1585" s="196"/>
      <c r="Q1585" s="35"/>
      <c r="S1585" s="268"/>
    </row>
    <row r="1586" spans="1:19" ht="32.1" hidden="1" customHeight="1" x14ac:dyDescent="0.25">
      <c r="A1586" s="324"/>
      <c r="B1586" s="324"/>
      <c r="C1586" s="320"/>
      <c r="D1586" s="44"/>
      <c r="E1586" s="38"/>
      <c r="F1586" s="38" t="s">
        <v>125</v>
      </c>
      <c r="G1586" s="328" t="s">
        <v>448</v>
      </c>
      <c r="H1586" s="38" t="s">
        <v>124</v>
      </c>
      <c r="I1586" s="282">
        <v>0</v>
      </c>
      <c r="J1586" s="282">
        <f>K1586-I1586</f>
        <v>0</v>
      </c>
      <c r="K1586" s="282">
        <v>0</v>
      </c>
      <c r="L1586" s="34"/>
      <c r="M1586" s="34"/>
      <c r="N1586" s="410"/>
      <c r="O1586" s="196"/>
      <c r="Q1586" s="35"/>
      <c r="S1586" s="268"/>
    </row>
    <row r="1587" spans="1:19" ht="20.100000000000001" hidden="1" customHeight="1" x14ac:dyDescent="0.25">
      <c r="A1587" s="320"/>
      <c r="B1587" s="320"/>
      <c r="C1587" s="320"/>
      <c r="D1587" s="44"/>
      <c r="E1587" s="38" t="s">
        <v>126</v>
      </c>
      <c r="F1587" s="38"/>
      <c r="G1587" s="328" t="s">
        <v>448</v>
      </c>
      <c r="H1587" s="38" t="s">
        <v>127</v>
      </c>
      <c r="I1587" s="282">
        <f t="shared" ref="I1587:M1587" si="306">I1588</f>
        <v>0</v>
      </c>
      <c r="J1587" s="282">
        <f t="shared" si="306"/>
        <v>0</v>
      </c>
      <c r="K1587" s="366">
        <f t="shared" si="306"/>
        <v>0</v>
      </c>
      <c r="L1587" s="323">
        <f t="shared" si="306"/>
        <v>0</v>
      </c>
      <c r="M1587" s="323">
        <f t="shared" si="306"/>
        <v>0</v>
      </c>
      <c r="N1587" s="410"/>
      <c r="O1587" s="196"/>
      <c r="Q1587" s="35"/>
      <c r="S1587" s="268"/>
    </row>
    <row r="1588" spans="1:19" ht="20.100000000000001" hidden="1" customHeight="1" x14ac:dyDescent="0.25">
      <c r="A1588" s="324"/>
      <c r="B1588" s="324"/>
      <c r="C1588" s="320"/>
      <c r="D1588" s="44"/>
      <c r="E1588" s="38"/>
      <c r="F1588" s="38" t="s">
        <v>128</v>
      </c>
      <c r="G1588" s="328" t="s">
        <v>448</v>
      </c>
      <c r="H1588" s="38" t="s">
        <v>127</v>
      </c>
      <c r="I1588" s="282">
        <v>0</v>
      </c>
      <c r="J1588" s="282">
        <f>K1588-I1588</f>
        <v>0</v>
      </c>
      <c r="K1588" s="282">
        <v>0</v>
      </c>
      <c r="L1588" s="34"/>
      <c r="M1588" s="34"/>
      <c r="N1588" s="410"/>
      <c r="O1588" s="196"/>
      <c r="Q1588" s="35"/>
      <c r="S1588" s="268"/>
    </row>
    <row r="1589" spans="1:19" ht="20.100000000000001" hidden="1" customHeight="1" x14ac:dyDescent="0.25">
      <c r="A1589" s="320"/>
      <c r="B1589" s="320"/>
      <c r="C1589" s="320"/>
      <c r="D1589" s="44"/>
      <c r="E1589" s="38" t="s">
        <v>129</v>
      </c>
      <c r="F1589" s="38"/>
      <c r="G1589" s="328" t="s">
        <v>448</v>
      </c>
      <c r="H1589" s="38" t="s">
        <v>130</v>
      </c>
      <c r="I1589" s="282">
        <f t="shared" ref="I1589:K1589" si="307">I1590</f>
        <v>199.08</v>
      </c>
      <c r="J1589" s="282">
        <f t="shared" si="307"/>
        <v>0</v>
      </c>
      <c r="K1589" s="282">
        <f t="shared" si="307"/>
        <v>199.08</v>
      </c>
      <c r="L1589" s="34"/>
      <c r="M1589" s="34"/>
      <c r="N1589" s="410"/>
      <c r="O1589" s="196"/>
      <c r="Q1589" s="35"/>
      <c r="S1589" s="268"/>
    </row>
    <row r="1590" spans="1:19" ht="20.100000000000001" hidden="1" customHeight="1" x14ac:dyDescent="0.25">
      <c r="A1590" s="324"/>
      <c r="B1590" s="324"/>
      <c r="C1590" s="320"/>
      <c r="D1590" s="44"/>
      <c r="E1590" s="38"/>
      <c r="F1590" s="382" t="s">
        <v>131</v>
      </c>
      <c r="G1590" s="387" t="s">
        <v>448</v>
      </c>
      <c r="H1590" s="382" t="s">
        <v>130</v>
      </c>
      <c r="I1590" s="381">
        <v>199.08</v>
      </c>
      <c r="J1590" s="381">
        <f>K1590-I1590</f>
        <v>0</v>
      </c>
      <c r="K1590" s="381">
        <v>199.08</v>
      </c>
      <c r="L1590" s="34"/>
      <c r="M1590" s="34"/>
      <c r="N1590" s="410"/>
      <c r="O1590" s="196"/>
      <c r="Q1590" s="35"/>
      <c r="S1590" s="268"/>
    </row>
    <row r="1591" spans="1:19" ht="20.100000000000001" hidden="1" customHeight="1" x14ac:dyDescent="0.25">
      <c r="A1591" s="320"/>
      <c r="B1591" s="320"/>
      <c r="C1591" s="320"/>
      <c r="D1591" s="56">
        <v>3223</v>
      </c>
      <c r="E1591" s="326"/>
      <c r="F1591" s="56"/>
      <c r="G1591" s="328" t="s">
        <v>448</v>
      </c>
      <c r="H1591" s="53" t="s">
        <v>30</v>
      </c>
      <c r="I1591" s="282">
        <f t="shared" ref="I1591:K1591" si="308">I1592+I1595+I1597</f>
        <v>2986.26</v>
      </c>
      <c r="J1591" s="282">
        <f t="shared" si="308"/>
        <v>-597.25</v>
      </c>
      <c r="K1591" s="282">
        <f t="shared" si="308"/>
        <v>2389.0100000000002</v>
      </c>
      <c r="L1591" s="34"/>
      <c r="M1591" s="34"/>
      <c r="N1591" s="410"/>
      <c r="O1591" s="196"/>
      <c r="Q1591" s="35"/>
      <c r="S1591" s="268"/>
    </row>
    <row r="1592" spans="1:19" ht="20.100000000000001" hidden="1" customHeight="1" x14ac:dyDescent="0.25">
      <c r="A1592" s="320"/>
      <c r="B1592" s="320"/>
      <c r="C1592" s="320"/>
      <c r="D1592" s="56"/>
      <c r="E1592" s="38" t="s">
        <v>141</v>
      </c>
      <c r="F1592" s="38"/>
      <c r="G1592" s="328" t="s">
        <v>448</v>
      </c>
      <c r="H1592" s="38" t="s">
        <v>142</v>
      </c>
      <c r="I1592" s="282">
        <f t="shared" ref="I1592:K1592" si="309">I1593+I1594</f>
        <v>1327.23</v>
      </c>
      <c r="J1592" s="282">
        <f t="shared" si="309"/>
        <v>0</v>
      </c>
      <c r="K1592" s="366">
        <f t="shared" si="309"/>
        <v>1327.23</v>
      </c>
      <c r="L1592" s="34"/>
      <c r="M1592" s="34"/>
      <c r="N1592" s="410"/>
      <c r="O1592" s="196"/>
      <c r="Q1592" s="35"/>
      <c r="S1592" s="268"/>
    </row>
    <row r="1593" spans="1:19" ht="20.100000000000001" hidden="1" customHeight="1" x14ac:dyDescent="0.25">
      <c r="A1593" s="324"/>
      <c r="B1593" s="324"/>
      <c r="C1593" s="320"/>
      <c r="D1593" s="56"/>
      <c r="E1593" s="38"/>
      <c r="F1593" s="382" t="s">
        <v>143</v>
      </c>
      <c r="G1593" s="387" t="s">
        <v>448</v>
      </c>
      <c r="H1593" s="382" t="s">
        <v>142</v>
      </c>
      <c r="I1593" s="381">
        <v>500</v>
      </c>
      <c r="J1593" s="381">
        <f>K1593-I1593</f>
        <v>0</v>
      </c>
      <c r="K1593" s="381">
        <v>500</v>
      </c>
      <c r="L1593" s="34"/>
      <c r="M1593" s="34"/>
      <c r="N1593" s="410"/>
      <c r="O1593" s="196"/>
      <c r="Q1593" s="35"/>
      <c r="S1593" s="268"/>
    </row>
    <row r="1594" spans="1:19" ht="20.100000000000001" hidden="1" customHeight="1" x14ac:dyDescent="0.25">
      <c r="A1594" s="324"/>
      <c r="B1594" s="324"/>
      <c r="C1594" s="320"/>
      <c r="D1594" s="56"/>
      <c r="E1594" s="38"/>
      <c r="F1594" s="382" t="s">
        <v>144</v>
      </c>
      <c r="G1594" s="387" t="s">
        <v>448</v>
      </c>
      <c r="H1594" s="382" t="s">
        <v>322</v>
      </c>
      <c r="I1594" s="381">
        <v>827.23</v>
      </c>
      <c r="J1594" s="381">
        <f>K1594-I1594</f>
        <v>0</v>
      </c>
      <c r="K1594" s="381">
        <v>827.23</v>
      </c>
      <c r="L1594" s="34"/>
      <c r="M1594" s="34"/>
      <c r="N1594" s="410"/>
      <c r="O1594" s="196"/>
      <c r="Q1594" s="35"/>
      <c r="S1594" s="268"/>
    </row>
    <row r="1595" spans="1:19" ht="20.100000000000001" hidden="1" customHeight="1" x14ac:dyDescent="0.25">
      <c r="A1595" s="320"/>
      <c r="B1595" s="320"/>
      <c r="C1595" s="320"/>
      <c r="D1595" s="56"/>
      <c r="E1595" s="38" t="s">
        <v>146</v>
      </c>
      <c r="F1595" s="38"/>
      <c r="G1595" s="328" t="s">
        <v>448</v>
      </c>
      <c r="H1595" s="38" t="s">
        <v>147</v>
      </c>
      <c r="I1595" s="282">
        <f t="shared" ref="I1595:K1595" si="310">I1596</f>
        <v>1061.78</v>
      </c>
      <c r="J1595" s="282">
        <f t="shared" si="310"/>
        <v>0</v>
      </c>
      <c r="K1595" s="366">
        <f t="shared" si="310"/>
        <v>1061.78</v>
      </c>
      <c r="L1595" s="34"/>
      <c r="M1595" s="34"/>
      <c r="N1595" s="410"/>
      <c r="O1595" s="196"/>
      <c r="Q1595" s="35"/>
      <c r="S1595" s="268"/>
    </row>
    <row r="1596" spans="1:19" ht="20.100000000000001" hidden="1" customHeight="1" x14ac:dyDescent="0.25">
      <c r="A1596" s="324"/>
      <c r="B1596" s="324"/>
      <c r="C1596" s="320"/>
      <c r="D1596" s="56"/>
      <c r="E1596" s="38"/>
      <c r="F1596" s="382" t="s">
        <v>148</v>
      </c>
      <c r="G1596" s="387" t="s">
        <v>448</v>
      </c>
      <c r="H1596" s="382" t="s">
        <v>147</v>
      </c>
      <c r="I1596" s="381">
        <v>1061.78</v>
      </c>
      <c r="J1596" s="381">
        <f>K1596-I1596</f>
        <v>0</v>
      </c>
      <c r="K1596" s="381">
        <v>1061.78</v>
      </c>
      <c r="L1596" s="34"/>
      <c r="M1596" s="34"/>
      <c r="N1596" s="410"/>
      <c r="O1596" s="196"/>
      <c r="Q1596" s="35"/>
      <c r="S1596" s="268"/>
    </row>
    <row r="1597" spans="1:19" ht="20.100000000000001" hidden="1" customHeight="1" x14ac:dyDescent="0.25">
      <c r="A1597" s="320"/>
      <c r="B1597" s="320"/>
      <c r="C1597" s="320"/>
      <c r="D1597" s="56"/>
      <c r="E1597" s="38" t="s">
        <v>149</v>
      </c>
      <c r="F1597" s="38"/>
      <c r="G1597" s="328" t="s">
        <v>448</v>
      </c>
      <c r="H1597" s="38" t="s">
        <v>150</v>
      </c>
      <c r="I1597" s="282">
        <f t="shared" ref="I1597:K1597" si="311">I1598</f>
        <v>597.25</v>
      </c>
      <c r="J1597" s="282">
        <f t="shared" si="311"/>
        <v>-597.25</v>
      </c>
      <c r="K1597" s="366">
        <f t="shared" si="311"/>
        <v>0</v>
      </c>
      <c r="L1597" s="34"/>
      <c r="M1597" s="34"/>
      <c r="N1597" s="410"/>
      <c r="O1597" s="196"/>
      <c r="Q1597" s="35"/>
      <c r="S1597" s="268"/>
    </row>
    <row r="1598" spans="1:19" ht="20.100000000000001" hidden="1" customHeight="1" x14ac:dyDescent="0.25">
      <c r="A1598" s="324"/>
      <c r="B1598" s="324"/>
      <c r="C1598" s="320"/>
      <c r="D1598" s="56"/>
      <c r="E1598" s="38"/>
      <c r="F1598" s="385" t="s">
        <v>151</v>
      </c>
      <c r="G1598" s="386" t="s">
        <v>448</v>
      </c>
      <c r="H1598" s="385" t="s">
        <v>150</v>
      </c>
      <c r="I1598" s="380">
        <v>597.25</v>
      </c>
      <c r="J1598" s="380">
        <f>K1598-I1598</f>
        <v>-597.25</v>
      </c>
      <c r="K1598" s="380">
        <v>0</v>
      </c>
      <c r="L1598" s="34"/>
      <c r="M1598" s="34"/>
      <c r="N1598" s="410"/>
      <c r="O1598" s="196"/>
      <c r="Q1598" s="35"/>
      <c r="S1598" s="268"/>
    </row>
    <row r="1599" spans="1:19" ht="20.100000000000001" hidden="1" customHeight="1" x14ac:dyDescent="0.25">
      <c r="A1599" s="324"/>
      <c r="B1599" s="324"/>
      <c r="C1599" s="320"/>
      <c r="D1599" s="56">
        <v>3225</v>
      </c>
      <c r="E1599" s="38"/>
      <c r="F1599" s="38"/>
      <c r="G1599" s="328" t="s">
        <v>448</v>
      </c>
      <c r="H1599" s="38" t="s">
        <v>32</v>
      </c>
      <c r="I1599" s="282">
        <f t="shared" ref="I1599:K1600" si="312">I1600</f>
        <v>0</v>
      </c>
      <c r="J1599" s="282">
        <f t="shared" si="312"/>
        <v>0</v>
      </c>
      <c r="K1599" s="366">
        <f t="shared" si="312"/>
        <v>0</v>
      </c>
      <c r="L1599" s="34"/>
      <c r="M1599" s="34"/>
      <c r="N1599" s="410"/>
      <c r="O1599" s="196"/>
      <c r="Q1599" s="35"/>
      <c r="S1599" s="268"/>
    </row>
    <row r="1600" spans="1:19" ht="20.100000000000001" hidden="1" customHeight="1" x14ac:dyDescent="0.2">
      <c r="A1600" s="324"/>
      <c r="B1600" s="324"/>
      <c r="C1600" s="320"/>
      <c r="D1600" s="56"/>
      <c r="E1600" s="38">
        <v>32251</v>
      </c>
      <c r="F1600" s="85"/>
      <c r="G1600" s="328" t="s">
        <v>448</v>
      </c>
      <c r="H1600" s="38" t="s">
        <v>158</v>
      </c>
      <c r="I1600" s="282">
        <f t="shared" si="312"/>
        <v>0</v>
      </c>
      <c r="J1600" s="282">
        <f t="shared" si="312"/>
        <v>0</v>
      </c>
      <c r="K1600" s="366">
        <f t="shared" si="312"/>
        <v>0</v>
      </c>
      <c r="L1600" s="34"/>
      <c r="M1600" s="34"/>
      <c r="N1600" s="410"/>
      <c r="O1600" s="196"/>
      <c r="Q1600" s="35"/>
      <c r="S1600" s="268"/>
    </row>
    <row r="1601" spans="1:19" ht="20.100000000000001" hidden="1" customHeight="1" x14ac:dyDescent="0.2">
      <c r="A1601" s="324"/>
      <c r="B1601" s="324"/>
      <c r="C1601" s="320"/>
      <c r="D1601" s="56"/>
      <c r="E1601" s="85"/>
      <c r="F1601" s="38">
        <v>322510</v>
      </c>
      <c r="G1601" s="328" t="s">
        <v>448</v>
      </c>
      <c r="H1601" s="38" t="s">
        <v>158</v>
      </c>
      <c r="I1601" s="282">
        <v>0</v>
      </c>
      <c r="J1601" s="282">
        <f>K1601-I1601</f>
        <v>0</v>
      </c>
      <c r="K1601" s="282">
        <v>0</v>
      </c>
      <c r="L1601" s="34"/>
      <c r="M1601" s="34"/>
      <c r="N1601" s="410"/>
      <c r="O1601" s="196"/>
      <c r="Q1601" s="35"/>
      <c r="S1601" s="268"/>
    </row>
    <row r="1602" spans="1:19" ht="20.100000000000001" hidden="1" customHeight="1" x14ac:dyDescent="0.25">
      <c r="A1602" s="317"/>
      <c r="B1602" s="317"/>
      <c r="C1602" s="317">
        <v>323</v>
      </c>
      <c r="D1602" s="42"/>
      <c r="E1602" s="317"/>
      <c r="F1602" s="42"/>
      <c r="G1602" s="328" t="s">
        <v>448</v>
      </c>
      <c r="H1602" s="43" t="s">
        <v>34</v>
      </c>
      <c r="I1602" s="281">
        <f t="shared" ref="I1602:K1602" si="313">I1603+I1608+I1611+I1614+I1622+I1627+I1630</f>
        <v>23438.87</v>
      </c>
      <c r="J1602" s="281">
        <f t="shared" si="313"/>
        <v>-2816.1900000000005</v>
      </c>
      <c r="K1602" s="281">
        <f t="shared" si="313"/>
        <v>20622.68</v>
      </c>
      <c r="L1602" s="34"/>
      <c r="M1602" s="34"/>
      <c r="N1602" s="410"/>
      <c r="O1602" s="196"/>
      <c r="Q1602" s="35"/>
      <c r="S1602" s="268"/>
    </row>
    <row r="1603" spans="1:19" ht="20.100000000000001" hidden="1" customHeight="1" x14ac:dyDescent="0.25">
      <c r="A1603" s="320"/>
      <c r="B1603" s="320"/>
      <c r="C1603" s="320"/>
      <c r="D1603" s="44">
        <v>3231</v>
      </c>
      <c r="E1603" s="320"/>
      <c r="F1603" s="44"/>
      <c r="G1603" s="328" t="s">
        <v>448</v>
      </c>
      <c r="H1603" s="38" t="s">
        <v>353</v>
      </c>
      <c r="I1603" s="282">
        <f t="shared" ref="I1603:K1603" si="314">I1604+I1606</f>
        <v>796.34</v>
      </c>
      <c r="J1603" s="282">
        <f t="shared" si="314"/>
        <v>0</v>
      </c>
      <c r="K1603" s="282">
        <f t="shared" si="314"/>
        <v>796.34</v>
      </c>
      <c r="L1603" s="34"/>
      <c r="M1603" s="34"/>
      <c r="N1603" s="410"/>
      <c r="O1603" s="196"/>
      <c r="Q1603" s="35"/>
      <c r="S1603" s="268"/>
    </row>
    <row r="1604" spans="1:19" ht="20.100000000000001" hidden="1" customHeight="1" x14ac:dyDescent="0.25">
      <c r="A1604" s="320"/>
      <c r="B1604" s="320"/>
      <c r="C1604" s="320"/>
      <c r="D1604" s="44"/>
      <c r="E1604" s="38" t="s">
        <v>167</v>
      </c>
      <c r="F1604" s="38"/>
      <c r="G1604" s="328" t="s">
        <v>448</v>
      </c>
      <c r="H1604" s="38" t="s">
        <v>168</v>
      </c>
      <c r="I1604" s="282">
        <f t="shared" ref="I1604:K1604" si="315">I1605</f>
        <v>796.34</v>
      </c>
      <c r="J1604" s="282">
        <f t="shared" si="315"/>
        <v>0</v>
      </c>
      <c r="K1604" s="366">
        <f t="shared" si="315"/>
        <v>796.34</v>
      </c>
      <c r="L1604" s="34"/>
      <c r="M1604" s="34"/>
      <c r="N1604" s="410"/>
      <c r="O1604" s="196"/>
      <c r="Q1604" s="35"/>
      <c r="S1604" s="268"/>
    </row>
    <row r="1605" spans="1:19" ht="20.100000000000001" hidden="1" customHeight="1" x14ac:dyDescent="0.25">
      <c r="A1605" s="324"/>
      <c r="B1605" s="324"/>
      <c r="C1605" s="320"/>
      <c r="D1605" s="44"/>
      <c r="E1605" s="38"/>
      <c r="F1605" s="382" t="s">
        <v>169</v>
      </c>
      <c r="G1605" s="387" t="s">
        <v>448</v>
      </c>
      <c r="H1605" s="382" t="s">
        <v>168</v>
      </c>
      <c r="I1605" s="381">
        <v>796.34</v>
      </c>
      <c r="J1605" s="381">
        <f>K1605-I1605</f>
        <v>0</v>
      </c>
      <c r="K1605" s="381">
        <v>796.34</v>
      </c>
      <c r="L1605" s="34"/>
      <c r="M1605" s="34"/>
      <c r="N1605" s="410"/>
      <c r="O1605" s="196"/>
      <c r="Q1605" s="35"/>
      <c r="S1605" s="268"/>
    </row>
    <row r="1606" spans="1:19" ht="20.100000000000001" hidden="1" customHeight="1" x14ac:dyDescent="0.25">
      <c r="A1606" s="320"/>
      <c r="B1606" s="320"/>
      <c r="C1606" s="320"/>
      <c r="D1606" s="44"/>
      <c r="E1606" s="38" t="s">
        <v>173</v>
      </c>
      <c r="F1606" s="38"/>
      <c r="G1606" s="328" t="s">
        <v>448</v>
      </c>
      <c r="H1606" s="38" t="s">
        <v>174</v>
      </c>
      <c r="I1606" s="282">
        <f t="shared" ref="I1606:K1606" si="316">I1607</f>
        <v>0</v>
      </c>
      <c r="J1606" s="282">
        <f t="shared" si="316"/>
        <v>0</v>
      </c>
      <c r="K1606" s="366">
        <f t="shared" si="316"/>
        <v>0</v>
      </c>
      <c r="L1606" s="34"/>
      <c r="M1606" s="34"/>
      <c r="N1606" s="410"/>
      <c r="O1606" s="196"/>
      <c r="Q1606" s="35"/>
      <c r="S1606" s="268"/>
    </row>
    <row r="1607" spans="1:19" ht="20.100000000000001" hidden="1" customHeight="1" x14ac:dyDescent="0.25">
      <c r="A1607" s="324"/>
      <c r="B1607" s="324"/>
      <c r="C1607" s="320"/>
      <c r="D1607" s="44"/>
      <c r="E1607" s="38"/>
      <c r="F1607" s="38" t="s">
        <v>175</v>
      </c>
      <c r="G1607" s="328" t="s">
        <v>448</v>
      </c>
      <c r="H1607" s="38" t="s">
        <v>174</v>
      </c>
      <c r="I1607" s="282">
        <v>0</v>
      </c>
      <c r="J1607" s="282">
        <v>0</v>
      </c>
      <c r="K1607" s="282">
        <v>0</v>
      </c>
      <c r="L1607" s="34"/>
      <c r="M1607" s="34"/>
      <c r="N1607" s="410"/>
      <c r="O1607" s="196"/>
      <c r="Q1607" s="35"/>
      <c r="S1607" s="268"/>
    </row>
    <row r="1608" spans="1:19" ht="20.100000000000001" hidden="1" customHeight="1" x14ac:dyDescent="0.25">
      <c r="A1608" s="320"/>
      <c r="B1608" s="320"/>
      <c r="C1608" s="320"/>
      <c r="D1608" s="44">
        <v>3232</v>
      </c>
      <c r="E1608" s="320"/>
      <c r="F1608" s="44"/>
      <c r="G1608" s="328" t="s">
        <v>448</v>
      </c>
      <c r="H1608" s="38" t="s">
        <v>36</v>
      </c>
      <c r="I1608" s="282">
        <f t="shared" ref="I1608:K1609" si="317">I1609</f>
        <v>265.45</v>
      </c>
      <c r="J1608" s="282">
        <f t="shared" si="317"/>
        <v>0</v>
      </c>
      <c r="K1608" s="366">
        <f t="shared" si="317"/>
        <v>265.45</v>
      </c>
      <c r="L1608" s="34"/>
      <c r="M1608" s="34"/>
      <c r="N1608" s="410"/>
      <c r="O1608" s="196"/>
      <c r="Q1608" s="35"/>
      <c r="S1608" s="268"/>
    </row>
    <row r="1609" spans="1:19" ht="32.1" hidden="1" customHeight="1" x14ac:dyDescent="0.25">
      <c r="A1609" s="320"/>
      <c r="B1609" s="320"/>
      <c r="C1609" s="320"/>
      <c r="D1609" s="44"/>
      <c r="E1609" s="38" t="s">
        <v>179</v>
      </c>
      <c r="F1609" s="38"/>
      <c r="G1609" s="328" t="s">
        <v>448</v>
      </c>
      <c r="H1609" s="38" t="s">
        <v>180</v>
      </c>
      <c r="I1609" s="282">
        <f t="shared" si="317"/>
        <v>265.45</v>
      </c>
      <c r="J1609" s="282">
        <f t="shared" si="317"/>
        <v>0</v>
      </c>
      <c r="K1609" s="366">
        <f t="shared" si="317"/>
        <v>265.45</v>
      </c>
      <c r="L1609" s="34"/>
      <c r="M1609" s="34"/>
      <c r="N1609" s="410"/>
      <c r="O1609" s="196"/>
      <c r="Q1609" s="35"/>
      <c r="S1609" s="268"/>
    </row>
    <row r="1610" spans="1:19" ht="32.1" hidden="1" customHeight="1" x14ac:dyDescent="0.25">
      <c r="A1610" s="324"/>
      <c r="B1610" s="324"/>
      <c r="C1610" s="320"/>
      <c r="D1610" s="44"/>
      <c r="E1610" s="38"/>
      <c r="F1610" s="382" t="s">
        <v>181</v>
      </c>
      <c r="G1610" s="387" t="s">
        <v>448</v>
      </c>
      <c r="H1610" s="382" t="s">
        <v>180</v>
      </c>
      <c r="I1610" s="381">
        <v>265.45</v>
      </c>
      <c r="J1610" s="381">
        <f>K1610-I1610</f>
        <v>0</v>
      </c>
      <c r="K1610" s="381">
        <v>265.45</v>
      </c>
      <c r="L1610" s="34"/>
      <c r="M1610" s="34"/>
      <c r="N1610" s="410"/>
      <c r="O1610" s="196"/>
      <c r="Q1610" s="35"/>
      <c r="S1610" s="268"/>
    </row>
    <row r="1611" spans="1:19" ht="20.100000000000001" hidden="1" customHeight="1" x14ac:dyDescent="0.25">
      <c r="A1611" s="320"/>
      <c r="B1611" s="320"/>
      <c r="C1611" s="320"/>
      <c r="D1611" s="44">
        <v>3233</v>
      </c>
      <c r="E1611" s="320"/>
      <c r="F1611" s="44"/>
      <c r="G1611" s="328" t="s">
        <v>448</v>
      </c>
      <c r="H1611" s="38" t="s">
        <v>37</v>
      </c>
      <c r="I1611" s="282">
        <f t="shared" ref="I1611:K1612" si="318">I1612</f>
        <v>0</v>
      </c>
      <c r="J1611" s="282">
        <f t="shared" si="318"/>
        <v>0</v>
      </c>
      <c r="K1611" s="366">
        <f t="shared" si="318"/>
        <v>0</v>
      </c>
      <c r="L1611" s="34"/>
      <c r="M1611" s="34"/>
      <c r="N1611" s="410"/>
      <c r="O1611" s="196"/>
      <c r="Q1611" s="35"/>
      <c r="S1611" s="268"/>
    </row>
    <row r="1612" spans="1:19" ht="20.100000000000001" hidden="1" customHeight="1" x14ac:dyDescent="0.25">
      <c r="A1612" s="320"/>
      <c r="B1612" s="320"/>
      <c r="C1612" s="320"/>
      <c r="D1612" s="44"/>
      <c r="E1612" s="38" t="s">
        <v>182</v>
      </c>
      <c r="F1612" s="38"/>
      <c r="G1612" s="328" t="s">
        <v>448</v>
      </c>
      <c r="H1612" s="38" t="s">
        <v>183</v>
      </c>
      <c r="I1612" s="282">
        <f t="shared" si="318"/>
        <v>0</v>
      </c>
      <c r="J1612" s="282">
        <f t="shared" si="318"/>
        <v>0</v>
      </c>
      <c r="K1612" s="366">
        <f t="shared" si="318"/>
        <v>0</v>
      </c>
      <c r="L1612" s="34"/>
      <c r="M1612" s="34"/>
      <c r="N1612" s="410"/>
      <c r="O1612" s="196"/>
      <c r="Q1612" s="35"/>
      <c r="S1612" s="268"/>
    </row>
    <row r="1613" spans="1:19" ht="20.100000000000001" hidden="1" customHeight="1" x14ac:dyDescent="0.25">
      <c r="A1613" s="324"/>
      <c r="B1613" s="324"/>
      <c r="C1613" s="320"/>
      <c r="D1613" s="44"/>
      <c r="E1613" s="38"/>
      <c r="F1613" s="38" t="s">
        <v>184</v>
      </c>
      <c r="G1613" s="328" t="s">
        <v>448</v>
      </c>
      <c r="H1613" s="38" t="s">
        <v>183</v>
      </c>
      <c r="I1613" s="282">
        <v>0</v>
      </c>
      <c r="J1613" s="282">
        <f>K1613-I1613</f>
        <v>0</v>
      </c>
      <c r="K1613" s="282">
        <v>0</v>
      </c>
      <c r="L1613" s="34"/>
      <c r="M1613" s="34"/>
      <c r="N1613" s="410"/>
      <c r="O1613" s="196"/>
      <c r="Q1613" s="35"/>
      <c r="S1613" s="268"/>
    </row>
    <row r="1614" spans="1:19" ht="20.100000000000001" hidden="1" customHeight="1" x14ac:dyDescent="0.25">
      <c r="A1614" s="320"/>
      <c r="B1614" s="320"/>
      <c r="C1614" s="320"/>
      <c r="D1614" s="44">
        <v>3234</v>
      </c>
      <c r="E1614" s="320"/>
      <c r="F1614" s="44"/>
      <c r="G1614" s="328" t="s">
        <v>448</v>
      </c>
      <c r="H1614" s="38" t="s">
        <v>354</v>
      </c>
      <c r="I1614" s="282">
        <f t="shared" ref="I1614:K1614" si="319">I1615+I1617+I1619</f>
        <v>398.16999999999996</v>
      </c>
      <c r="J1614" s="282">
        <f t="shared" si="319"/>
        <v>0</v>
      </c>
      <c r="K1614" s="282">
        <f t="shared" si="319"/>
        <v>398.16999999999996</v>
      </c>
      <c r="L1614" s="34"/>
      <c r="M1614" s="34"/>
      <c r="N1614" s="410"/>
      <c r="O1614" s="196"/>
      <c r="Q1614" s="35"/>
      <c r="S1614" s="268"/>
    </row>
    <row r="1615" spans="1:19" ht="20.100000000000001" hidden="1" customHeight="1" x14ac:dyDescent="0.25">
      <c r="A1615" s="320"/>
      <c r="B1615" s="320"/>
      <c r="C1615" s="320"/>
      <c r="D1615" s="44"/>
      <c r="E1615" s="38" t="s">
        <v>185</v>
      </c>
      <c r="F1615" s="38"/>
      <c r="G1615" s="328" t="s">
        <v>448</v>
      </c>
      <c r="H1615" s="38" t="s">
        <v>186</v>
      </c>
      <c r="I1615" s="282">
        <f t="shared" ref="I1615:K1615" si="320">I1616</f>
        <v>265.45</v>
      </c>
      <c r="J1615" s="282">
        <f t="shared" si="320"/>
        <v>0</v>
      </c>
      <c r="K1615" s="366">
        <f t="shared" si="320"/>
        <v>265.45</v>
      </c>
      <c r="L1615" s="34"/>
      <c r="M1615" s="34"/>
      <c r="N1615" s="410"/>
      <c r="O1615" s="196"/>
      <c r="Q1615" s="35"/>
      <c r="S1615" s="268"/>
    </row>
    <row r="1616" spans="1:19" ht="20.100000000000001" hidden="1" customHeight="1" x14ac:dyDescent="0.25">
      <c r="A1616" s="324"/>
      <c r="B1616" s="324"/>
      <c r="C1616" s="320"/>
      <c r="D1616" s="44"/>
      <c r="E1616" s="38"/>
      <c r="F1616" s="382" t="s">
        <v>187</v>
      </c>
      <c r="G1616" s="387" t="s">
        <v>448</v>
      </c>
      <c r="H1616" s="382" t="s">
        <v>186</v>
      </c>
      <c r="I1616" s="381">
        <v>265.45</v>
      </c>
      <c r="J1616" s="381">
        <f>K1616-I1616</f>
        <v>0</v>
      </c>
      <c r="K1616" s="381">
        <v>265.45</v>
      </c>
      <c r="L1616" s="34"/>
      <c r="M1616" s="34"/>
      <c r="N1616" s="410"/>
      <c r="O1616" s="196"/>
      <c r="Q1616" s="35"/>
      <c r="S1616" s="268"/>
    </row>
    <row r="1617" spans="1:19" ht="20.100000000000001" hidden="1" customHeight="1" x14ac:dyDescent="0.25">
      <c r="A1617" s="320"/>
      <c r="B1617" s="320"/>
      <c r="C1617" s="320"/>
      <c r="D1617" s="44"/>
      <c r="E1617" s="38" t="s">
        <v>188</v>
      </c>
      <c r="F1617" s="38"/>
      <c r="G1617" s="328" t="s">
        <v>448</v>
      </c>
      <c r="H1617" s="38" t="s">
        <v>189</v>
      </c>
      <c r="I1617" s="282">
        <f t="shared" ref="I1617:K1617" si="321">I1618</f>
        <v>0</v>
      </c>
      <c r="J1617" s="282">
        <f t="shared" si="321"/>
        <v>0</v>
      </c>
      <c r="K1617" s="366">
        <f t="shared" si="321"/>
        <v>0</v>
      </c>
      <c r="L1617" s="34"/>
      <c r="M1617" s="34"/>
      <c r="N1617" s="410"/>
      <c r="O1617" s="196"/>
      <c r="Q1617" s="35"/>
      <c r="S1617" s="268"/>
    </row>
    <row r="1618" spans="1:19" ht="20.100000000000001" hidden="1" customHeight="1" x14ac:dyDescent="0.25">
      <c r="A1618" s="324"/>
      <c r="B1618" s="324"/>
      <c r="C1618" s="320"/>
      <c r="D1618" s="44"/>
      <c r="E1618" s="38"/>
      <c r="F1618" s="38" t="s">
        <v>190</v>
      </c>
      <c r="G1618" s="328" t="s">
        <v>448</v>
      </c>
      <c r="H1618" s="38" t="s">
        <v>189</v>
      </c>
      <c r="I1618" s="282">
        <v>0</v>
      </c>
      <c r="J1618" s="282">
        <f>K1618-I1618</f>
        <v>0</v>
      </c>
      <c r="K1618" s="282">
        <v>0</v>
      </c>
      <c r="L1618" s="34"/>
      <c r="M1618" s="34"/>
      <c r="N1618" s="410"/>
      <c r="O1618" s="196"/>
      <c r="Q1618" s="35"/>
      <c r="S1618" s="268"/>
    </row>
    <row r="1619" spans="1:19" ht="20.100000000000001" hidden="1" customHeight="1" x14ac:dyDescent="0.25">
      <c r="A1619" s="320"/>
      <c r="B1619" s="320"/>
      <c r="C1619" s="320"/>
      <c r="D1619" s="44"/>
      <c r="E1619" s="38" t="s">
        <v>191</v>
      </c>
      <c r="F1619" s="38"/>
      <c r="G1619" s="328" t="s">
        <v>448</v>
      </c>
      <c r="H1619" s="38" t="s">
        <v>192</v>
      </c>
      <c r="I1619" s="282">
        <f t="shared" ref="I1619:K1619" si="322">I1620+I1621</f>
        <v>132.72</v>
      </c>
      <c r="J1619" s="282">
        <f t="shared" si="322"/>
        <v>0</v>
      </c>
      <c r="K1619" s="282">
        <f t="shared" si="322"/>
        <v>132.72</v>
      </c>
      <c r="L1619" s="34"/>
      <c r="M1619" s="34"/>
      <c r="N1619" s="410"/>
      <c r="O1619" s="196"/>
      <c r="Q1619" s="35"/>
      <c r="S1619" s="268"/>
    </row>
    <row r="1620" spans="1:19" ht="20.100000000000001" hidden="1" customHeight="1" x14ac:dyDescent="0.25">
      <c r="A1620" s="320"/>
      <c r="B1620" s="320"/>
      <c r="C1620" s="320"/>
      <c r="D1620" s="44"/>
      <c r="E1620" s="38"/>
      <c r="F1620" s="38" t="s">
        <v>193</v>
      </c>
      <c r="G1620" s="328" t="s">
        <v>448</v>
      </c>
      <c r="H1620" s="38" t="s">
        <v>192</v>
      </c>
      <c r="I1620" s="282">
        <v>0</v>
      </c>
      <c r="J1620" s="282">
        <f t="shared" ref="J1620" si="323">I1620/12*3</f>
        <v>0</v>
      </c>
      <c r="K1620" s="282">
        <v>0</v>
      </c>
      <c r="L1620" s="34"/>
      <c r="M1620" s="34"/>
      <c r="N1620" s="410"/>
      <c r="O1620" s="196"/>
      <c r="Q1620" s="35"/>
      <c r="S1620" s="268"/>
    </row>
    <row r="1621" spans="1:19" ht="20.100000000000001" hidden="1" customHeight="1" x14ac:dyDescent="0.25">
      <c r="A1621" s="324"/>
      <c r="B1621" s="324"/>
      <c r="C1621" s="320"/>
      <c r="D1621" s="44"/>
      <c r="E1621" s="38"/>
      <c r="F1621" s="382" t="s">
        <v>194</v>
      </c>
      <c r="G1621" s="387" t="s">
        <v>448</v>
      </c>
      <c r="H1621" s="382" t="s">
        <v>195</v>
      </c>
      <c r="I1621" s="381">
        <v>132.72</v>
      </c>
      <c r="J1621" s="381">
        <f>K1621-I1621</f>
        <v>0</v>
      </c>
      <c r="K1621" s="381">
        <v>132.72</v>
      </c>
      <c r="L1621" s="34"/>
      <c r="M1621" s="34"/>
      <c r="N1621" s="410"/>
      <c r="O1621" s="196"/>
      <c r="Q1621" s="35"/>
      <c r="S1621" s="268"/>
    </row>
    <row r="1622" spans="1:19" ht="20.100000000000001" hidden="1" customHeight="1" x14ac:dyDescent="0.25">
      <c r="A1622" s="320"/>
      <c r="B1622" s="320"/>
      <c r="C1622" s="320"/>
      <c r="D1622" s="44">
        <v>3237</v>
      </c>
      <c r="E1622" s="320"/>
      <c r="F1622" s="44"/>
      <c r="G1622" s="328" t="s">
        <v>448</v>
      </c>
      <c r="H1622" s="38" t="s">
        <v>208</v>
      </c>
      <c r="I1622" s="282">
        <f t="shared" ref="I1622:K1622" si="324">I1623+I1625</f>
        <v>10564.73</v>
      </c>
      <c r="J1622" s="282">
        <f t="shared" si="324"/>
        <v>-43.809999999999491</v>
      </c>
      <c r="K1622" s="282">
        <f t="shared" si="324"/>
        <v>10520.92</v>
      </c>
      <c r="L1622" s="34"/>
      <c r="M1622" s="34"/>
      <c r="N1622" s="410"/>
      <c r="O1622" s="196"/>
      <c r="Q1622" s="35"/>
      <c r="S1622" s="268"/>
    </row>
    <row r="1623" spans="1:19" ht="20.100000000000001" hidden="1" customHeight="1" x14ac:dyDescent="0.25">
      <c r="A1623" s="320"/>
      <c r="B1623" s="320"/>
      <c r="C1623" s="320"/>
      <c r="D1623" s="44"/>
      <c r="E1623" s="38" t="s">
        <v>209</v>
      </c>
      <c r="F1623" s="38"/>
      <c r="G1623" s="328" t="s">
        <v>448</v>
      </c>
      <c r="H1623" s="38" t="s">
        <v>210</v>
      </c>
      <c r="I1623" s="282">
        <f t="shared" ref="I1623:K1623" si="325">I1624</f>
        <v>10485.1</v>
      </c>
      <c r="J1623" s="282">
        <f t="shared" si="325"/>
        <v>-43.809999999999491</v>
      </c>
      <c r="K1623" s="282">
        <f t="shared" si="325"/>
        <v>10441.290000000001</v>
      </c>
      <c r="L1623" s="34"/>
      <c r="M1623" s="34"/>
      <c r="N1623" s="410"/>
      <c r="O1623" s="196"/>
      <c r="Q1623" s="35"/>
      <c r="S1623" s="268"/>
    </row>
    <row r="1624" spans="1:19" ht="20.100000000000001" hidden="1" customHeight="1" x14ac:dyDescent="0.25">
      <c r="A1624" s="324"/>
      <c r="B1624" s="324"/>
      <c r="C1624" s="320"/>
      <c r="D1624" s="44"/>
      <c r="E1624" s="38"/>
      <c r="F1624" s="382" t="s">
        <v>211</v>
      </c>
      <c r="G1624" s="387" t="s">
        <v>448</v>
      </c>
      <c r="H1624" s="382" t="s">
        <v>210</v>
      </c>
      <c r="I1624" s="381">
        <v>10485.1</v>
      </c>
      <c r="J1624" s="381">
        <f>K1624-I1624</f>
        <v>-43.809999999999491</v>
      </c>
      <c r="K1624" s="381">
        <v>10441.290000000001</v>
      </c>
      <c r="L1624" s="34"/>
      <c r="M1624" s="34"/>
      <c r="N1624" s="410"/>
      <c r="O1624" s="196"/>
      <c r="Q1624" s="35"/>
      <c r="S1624" s="268"/>
    </row>
    <row r="1625" spans="1:19" ht="20.100000000000001" hidden="1" customHeight="1" x14ac:dyDescent="0.25">
      <c r="A1625" s="320"/>
      <c r="B1625" s="320"/>
      <c r="C1625" s="320"/>
      <c r="D1625" s="44"/>
      <c r="E1625" s="38" t="s">
        <v>212</v>
      </c>
      <c r="F1625" s="38"/>
      <c r="G1625" s="328" t="s">
        <v>448</v>
      </c>
      <c r="H1625" s="38" t="s">
        <v>213</v>
      </c>
      <c r="I1625" s="282">
        <f t="shared" ref="I1625:K1625" si="326">I1626</f>
        <v>79.63</v>
      </c>
      <c r="J1625" s="282">
        <f t="shared" si="326"/>
        <v>0</v>
      </c>
      <c r="K1625" s="282">
        <f t="shared" si="326"/>
        <v>79.63</v>
      </c>
      <c r="L1625" s="34"/>
      <c r="M1625" s="34"/>
      <c r="N1625" s="410"/>
      <c r="O1625" s="196"/>
      <c r="Q1625" s="35"/>
      <c r="S1625" s="268"/>
    </row>
    <row r="1626" spans="1:19" ht="20.100000000000001" hidden="1" customHeight="1" x14ac:dyDescent="0.25">
      <c r="A1626" s="320"/>
      <c r="B1626" s="320"/>
      <c r="C1626" s="320"/>
      <c r="D1626" s="44"/>
      <c r="E1626" s="38"/>
      <c r="F1626" s="382" t="s">
        <v>214</v>
      </c>
      <c r="G1626" s="387" t="s">
        <v>448</v>
      </c>
      <c r="H1626" s="382" t="s">
        <v>213</v>
      </c>
      <c r="I1626" s="381">
        <v>79.63</v>
      </c>
      <c r="J1626" s="381">
        <f>K1626-I1626</f>
        <v>0</v>
      </c>
      <c r="K1626" s="381">
        <v>79.63</v>
      </c>
      <c r="L1626" s="34"/>
      <c r="M1626" s="34"/>
      <c r="N1626" s="410"/>
      <c r="O1626" s="196"/>
      <c r="Q1626" s="35"/>
      <c r="S1626" s="268"/>
    </row>
    <row r="1627" spans="1:19" ht="20.100000000000001" hidden="1" customHeight="1" x14ac:dyDescent="0.25">
      <c r="A1627" s="320"/>
      <c r="B1627" s="320"/>
      <c r="C1627" s="320"/>
      <c r="D1627" s="56">
        <v>3238</v>
      </c>
      <c r="E1627" s="326"/>
      <c r="F1627" s="56"/>
      <c r="G1627" s="328" t="s">
        <v>448</v>
      </c>
      <c r="H1627" s="53" t="s">
        <v>41</v>
      </c>
      <c r="I1627" s="282">
        <f t="shared" ref="I1627:K1628" si="327">I1628</f>
        <v>132.72999999999999</v>
      </c>
      <c r="J1627" s="282">
        <f t="shared" si="327"/>
        <v>0</v>
      </c>
      <c r="K1627" s="282">
        <f t="shared" si="327"/>
        <v>132.72999999999999</v>
      </c>
      <c r="L1627" s="34"/>
      <c r="M1627" s="34"/>
      <c r="N1627" s="410"/>
      <c r="O1627" s="196"/>
      <c r="Q1627" s="35"/>
      <c r="S1627" s="268"/>
    </row>
    <row r="1628" spans="1:19" ht="20.100000000000001" hidden="1" customHeight="1" x14ac:dyDescent="0.25">
      <c r="A1628" s="320"/>
      <c r="B1628" s="320"/>
      <c r="C1628" s="320"/>
      <c r="D1628" s="56"/>
      <c r="E1628" s="38" t="s">
        <v>219</v>
      </c>
      <c r="F1628" s="38"/>
      <c r="G1628" s="328" t="s">
        <v>448</v>
      </c>
      <c r="H1628" s="38" t="s">
        <v>220</v>
      </c>
      <c r="I1628" s="282">
        <f t="shared" si="327"/>
        <v>132.72999999999999</v>
      </c>
      <c r="J1628" s="282">
        <f t="shared" si="327"/>
        <v>0</v>
      </c>
      <c r="K1628" s="282">
        <f t="shared" si="327"/>
        <v>132.72999999999999</v>
      </c>
      <c r="L1628" s="34"/>
      <c r="M1628" s="34"/>
      <c r="N1628" s="410"/>
      <c r="O1628" s="196"/>
      <c r="Q1628" s="35"/>
      <c r="S1628" s="268"/>
    </row>
    <row r="1629" spans="1:19" ht="20.100000000000001" hidden="1" customHeight="1" x14ac:dyDescent="0.25">
      <c r="A1629" s="324"/>
      <c r="B1629" s="324"/>
      <c r="C1629" s="320"/>
      <c r="D1629" s="56"/>
      <c r="E1629" s="38"/>
      <c r="F1629" s="382" t="s">
        <v>221</v>
      </c>
      <c r="G1629" s="387" t="s">
        <v>448</v>
      </c>
      <c r="H1629" s="382" t="s">
        <v>220</v>
      </c>
      <c r="I1629" s="381">
        <v>132.72999999999999</v>
      </c>
      <c r="J1629" s="381">
        <f>K1629-I1629</f>
        <v>0</v>
      </c>
      <c r="K1629" s="381">
        <v>132.72999999999999</v>
      </c>
      <c r="L1629" s="34"/>
      <c r="M1629" s="34"/>
      <c r="N1629" s="410"/>
      <c r="O1629" s="196"/>
      <c r="Q1629" s="35"/>
      <c r="S1629" s="268"/>
    </row>
    <row r="1630" spans="1:19" ht="20.100000000000001" hidden="1" customHeight="1" x14ac:dyDescent="0.25">
      <c r="A1630" s="320"/>
      <c r="B1630" s="320"/>
      <c r="C1630" s="320"/>
      <c r="D1630" s="56">
        <v>3239</v>
      </c>
      <c r="E1630" s="326"/>
      <c r="F1630" s="56"/>
      <c r="G1630" s="328" t="s">
        <v>448</v>
      </c>
      <c r="H1630" s="53" t="s">
        <v>42</v>
      </c>
      <c r="I1630" s="282">
        <f t="shared" ref="I1630:K1631" si="328">I1631</f>
        <v>11281.45</v>
      </c>
      <c r="J1630" s="282">
        <f t="shared" si="328"/>
        <v>-2772.380000000001</v>
      </c>
      <c r="K1630" s="282">
        <f t="shared" si="328"/>
        <v>8509.07</v>
      </c>
      <c r="L1630" s="34"/>
      <c r="M1630" s="34"/>
      <c r="N1630" s="410"/>
      <c r="O1630" s="196"/>
      <c r="Q1630" s="35"/>
      <c r="S1630" s="268"/>
    </row>
    <row r="1631" spans="1:19" ht="32.1" hidden="1" customHeight="1" x14ac:dyDescent="0.25">
      <c r="A1631" s="320"/>
      <c r="B1631" s="320"/>
      <c r="C1631" s="320"/>
      <c r="D1631" s="56"/>
      <c r="E1631" s="38" t="s">
        <v>222</v>
      </c>
      <c r="F1631" s="38"/>
      <c r="G1631" s="328" t="s">
        <v>448</v>
      </c>
      <c r="H1631" s="38" t="s">
        <v>223</v>
      </c>
      <c r="I1631" s="282">
        <f t="shared" si="328"/>
        <v>11281.45</v>
      </c>
      <c r="J1631" s="282">
        <f t="shared" si="328"/>
        <v>-2772.380000000001</v>
      </c>
      <c r="K1631" s="282">
        <f t="shared" si="328"/>
        <v>8509.07</v>
      </c>
      <c r="L1631" s="34"/>
      <c r="M1631" s="34"/>
      <c r="N1631" s="410"/>
      <c r="O1631" s="196"/>
      <c r="Q1631" s="35"/>
      <c r="S1631" s="268"/>
    </row>
    <row r="1632" spans="1:19" ht="32.1" hidden="1" customHeight="1" x14ac:dyDescent="0.25">
      <c r="A1632" s="320"/>
      <c r="B1632" s="320"/>
      <c r="C1632" s="320"/>
      <c r="D1632" s="56"/>
      <c r="E1632" s="38"/>
      <c r="F1632" s="385" t="s">
        <v>224</v>
      </c>
      <c r="G1632" s="386" t="s">
        <v>448</v>
      </c>
      <c r="H1632" s="385" t="s">
        <v>223</v>
      </c>
      <c r="I1632" s="380">
        <v>11281.45</v>
      </c>
      <c r="J1632" s="380">
        <f>K1632-I1632</f>
        <v>-2772.380000000001</v>
      </c>
      <c r="K1632" s="380">
        <f>8600.07-91</f>
        <v>8509.07</v>
      </c>
      <c r="L1632" s="34"/>
      <c r="M1632" s="34"/>
      <c r="N1632" s="410"/>
      <c r="O1632" s="196"/>
      <c r="Q1632" s="35"/>
      <c r="S1632" s="268"/>
    </row>
    <row r="1633" spans="1:19" ht="20.100000000000001" hidden="1" customHeight="1" x14ac:dyDescent="0.25">
      <c r="A1633" s="317"/>
      <c r="B1633" s="317"/>
      <c r="C1633" s="317">
        <v>329</v>
      </c>
      <c r="D1633" s="42"/>
      <c r="E1633" s="317"/>
      <c r="F1633" s="42"/>
      <c r="G1633" s="328" t="s">
        <v>448</v>
      </c>
      <c r="H1633" s="43" t="s">
        <v>45</v>
      </c>
      <c r="I1633" s="281">
        <f t="shared" ref="I1633:K1635" si="329">I1634</f>
        <v>6901.58</v>
      </c>
      <c r="J1633" s="281">
        <f t="shared" si="329"/>
        <v>-210.52000000000044</v>
      </c>
      <c r="K1633" s="281">
        <f t="shared" si="329"/>
        <v>6691.0599999999995</v>
      </c>
      <c r="L1633" s="34"/>
      <c r="M1633" s="34"/>
      <c r="N1633" s="410"/>
      <c r="O1633" s="196"/>
      <c r="Q1633" s="35"/>
      <c r="S1633" s="268"/>
    </row>
    <row r="1634" spans="1:19" ht="20.100000000000001" hidden="1" customHeight="1" x14ac:dyDescent="0.25">
      <c r="A1634" s="320"/>
      <c r="B1634" s="320"/>
      <c r="C1634" s="320"/>
      <c r="D1634" s="44">
        <v>3293</v>
      </c>
      <c r="E1634" s="320"/>
      <c r="F1634" s="44"/>
      <c r="G1634" s="328" t="s">
        <v>448</v>
      </c>
      <c r="H1634" s="38" t="s">
        <v>48</v>
      </c>
      <c r="I1634" s="282">
        <f t="shared" si="329"/>
        <v>6901.58</v>
      </c>
      <c r="J1634" s="282">
        <f t="shared" si="329"/>
        <v>-210.52000000000044</v>
      </c>
      <c r="K1634" s="282">
        <f t="shared" si="329"/>
        <v>6691.0599999999995</v>
      </c>
      <c r="L1634" s="34"/>
      <c r="M1634" s="34"/>
      <c r="N1634" s="410"/>
      <c r="O1634" s="196"/>
      <c r="Q1634" s="35"/>
      <c r="S1634" s="268"/>
    </row>
    <row r="1635" spans="1:19" ht="20.100000000000001" hidden="1" customHeight="1" x14ac:dyDescent="0.25">
      <c r="A1635" s="320"/>
      <c r="B1635" s="320"/>
      <c r="C1635" s="320"/>
      <c r="D1635" s="44"/>
      <c r="E1635" s="38" t="s">
        <v>257</v>
      </c>
      <c r="F1635" s="38"/>
      <c r="G1635" s="328" t="s">
        <v>448</v>
      </c>
      <c r="H1635" s="38" t="s">
        <v>48</v>
      </c>
      <c r="I1635" s="282">
        <f t="shared" si="329"/>
        <v>6901.58</v>
      </c>
      <c r="J1635" s="282">
        <f t="shared" si="329"/>
        <v>-210.52000000000044</v>
      </c>
      <c r="K1635" s="282">
        <f t="shared" si="329"/>
        <v>6691.0599999999995</v>
      </c>
      <c r="L1635" s="34"/>
      <c r="M1635" s="34"/>
      <c r="N1635" s="410"/>
      <c r="O1635" s="196"/>
      <c r="Q1635" s="35"/>
      <c r="S1635" s="268"/>
    </row>
    <row r="1636" spans="1:19" ht="20.100000000000001" hidden="1" customHeight="1" x14ac:dyDescent="0.25">
      <c r="A1636" s="324"/>
      <c r="B1636" s="324"/>
      <c r="C1636" s="320"/>
      <c r="D1636" s="44"/>
      <c r="E1636" s="38"/>
      <c r="F1636" s="385" t="s">
        <v>258</v>
      </c>
      <c r="G1636" s="386" t="s">
        <v>448</v>
      </c>
      <c r="H1636" s="385" t="s">
        <v>48</v>
      </c>
      <c r="I1636" s="380">
        <v>6901.58</v>
      </c>
      <c r="J1636" s="380">
        <f>K1636-I1636</f>
        <v>-210.52000000000044</v>
      </c>
      <c r="K1636" s="380">
        <f>6739.53-48.47</f>
        <v>6691.0599999999995</v>
      </c>
      <c r="L1636" s="34"/>
      <c r="M1636" s="34"/>
      <c r="N1636" s="410"/>
      <c r="O1636" s="196"/>
      <c r="Q1636" s="35"/>
      <c r="S1636" s="268"/>
    </row>
    <row r="1637" spans="1:19" ht="51" x14ac:dyDescent="0.25">
      <c r="A1637" s="431"/>
      <c r="B1637" s="431"/>
      <c r="C1637" s="431"/>
      <c r="D1637" s="431"/>
      <c r="E1637" s="431"/>
      <c r="F1637" s="431"/>
      <c r="G1637" s="432"/>
      <c r="H1637" s="433" t="s">
        <v>531</v>
      </c>
      <c r="I1637" s="280"/>
      <c r="J1637" s="280"/>
      <c r="K1637" s="280"/>
      <c r="L1637" s="34"/>
      <c r="M1637" s="34"/>
      <c r="N1637" s="410"/>
      <c r="O1637" s="196"/>
      <c r="Q1637" s="35"/>
      <c r="S1637" s="268"/>
    </row>
    <row r="1638" spans="1:19" ht="20.100000000000001" customHeight="1" x14ac:dyDescent="0.25">
      <c r="A1638" s="312"/>
      <c r="B1638" s="312"/>
      <c r="C1638" s="312"/>
      <c r="D1638" s="312"/>
      <c r="E1638" s="312"/>
      <c r="F1638" s="312"/>
      <c r="G1638" s="327"/>
      <c r="H1638" s="315" t="s">
        <v>288</v>
      </c>
      <c r="I1638" s="316"/>
      <c r="J1638" s="316"/>
      <c r="K1638" s="389"/>
      <c r="L1638" s="34"/>
      <c r="M1638" s="34"/>
      <c r="N1638" s="410"/>
      <c r="O1638" s="196"/>
      <c r="Q1638" s="35"/>
      <c r="S1638" s="268"/>
    </row>
    <row r="1639" spans="1:19" ht="20.100000000000001" customHeight="1" x14ac:dyDescent="0.25">
      <c r="A1639" s="317">
        <v>4</v>
      </c>
      <c r="B1639" s="317"/>
      <c r="C1639" s="317"/>
      <c r="D1639" s="42"/>
      <c r="E1639" s="317"/>
      <c r="F1639" s="317"/>
      <c r="G1639" s="318"/>
      <c r="H1639" s="319" t="s">
        <v>324</v>
      </c>
      <c r="I1639" s="281">
        <f t="shared" ref="I1639:K1639" si="330">I1640+I1645</f>
        <v>3118.99</v>
      </c>
      <c r="J1639" s="281">
        <f t="shared" si="330"/>
        <v>281.88</v>
      </c>
      <c r="K1639" s="281">
        <f t="shared" si="330"/>
        <v>3400.8700000000003</v>
      </c>
      <c r="L1639" s="34"/>
      <c r="M1639" s="34"/>
      <c r="N1639" s="410"/>
      <c r="O1639" s="196"/>
      <c r="Q1639" s="35"/>
      <c r="S1639" s="268"/>
    </row>
    <row r="1640" spans="1:19" ht="32.1" customHeight="1" x14ac:dyDescent="0.25">
      <c r="A1640" s="317"/>
      <c r="B1640" s="317">
        <v>41</v>
      </c>
      <c r="C1640" s="317"/>
      <c r="D1640" s="42"/>
      <c r="E1640" s="317"/>
      <c r="F1640" s="317"/>
      <c r="G1640" s="328" t="s">
        <v>448</v>
      </c>
      <c r="H1640" s="319" t="s">
        <v>60</v>
      </c>
      <c r="I1640" s="281">
        <f t="shared" ref="I1640:K1643" si="331">I1641</f>
        <v>0</v>
      </c>
      <c r="J1640" s="281">
        <f t="shared" si="331"/>
        <v>281.88</v>
      </c>
      <c r="K1640" s="281">
        <f t="shared" si="331"/>
        <v>281.88</v>
      </c>
      <c r="L1640" s="34"/>
      <c r="M1640" s="34"/>
      <c r="N1640" s="410"/>
      <c r="O1640" s="196"/>
      <c r="Q1640" s="35"/>
      <c r="S1640" s="268"/>
    </row>
    <row r="1641" spans="1:19" ht="20.100000000000001" hidden="1" customHeight="1" x14ac:dyDescent="0.25">
      <c r="A1641" s="317"/>
      <c r="B1641" s="317"/>
      <c r="C1641" s="317">
        <v>412</v>
      </c>
      <c r="D1641" s="42"/>
      <c r="E1641" s="317"/>
      <c r="F1641" s="317"/>
      <c r="G1641" s="328" t="s">
        <v>448</v>
      </c>
      <c r="H1641" s="319" t="s">
        <v>325</v>
      </c>
      <c r="I1641" s="281">
        <f t="shared" si="331"/>
        <v>0</v>
      </c>
      <c r="J1641" s="281">
        <f t="shared" si="331"/>
        <v>281.88</v>
      </c>
      <c r="K1641" s="281">
        <f t="shared" si="331"/>
        <v>281.88</v>
      </c>
      <c r="L1641" s="34"/>
      <c r="M1641" s="34"/>
      <c r="N1641" s="410"/>
      <c r="O1641" s="196"/>
      <c r="Q1641" s="35"/>
      <c r="S1641" s="268"/>
    </row>
    <row r="1642" spans="1:19" ht="20.100000000000001" hidden="1" customHeight="1" x14ac:dyDescent="0.25">
      <c r="A1642" s="320"/>
      <c r="B1642" s="320"/>
      <c r="C1642" s="320"/>
      <c r="D1642" s="44">
        <v>4123</v>
      </c>
      <c r="E1642" s="320"/>
      <c r="F1642" s="320"/>
      <c r="G1642" s="318" t="s">
        <v>448</v>
      </c>
      <c r="H1642" s="322" t="s">
        <v>62</v>
      </c>
      <c r="I1642" s="282">
        <f t="shared" si="331"/>
        <v>0</v>
      </c>
      <c r="J1642" s="282">
        <f t="shared" si="331"/>
        <v>281.88</v>
      </c>
      <c r="K1642" s="282">
        <f t="shared" si="331"/>
        <v>281.88</v>
      </c>
      <c r="L1642" s="34"/>
      <c r="M1642" s="34"/>
      <c r="N1642" s="410"/>
      <c r="O1642" s="196"/>
      <c r="Q1642" s="35"/>
      <c r="S1642" s="268"/>
    </row>
    <row r="1643" spans="1:19" ht="20.100000000000001" hidden="1" customHeight="1" x14ac:dyDescent="0.25">
      <c r="A1643" s="320"/>
      <c r="B1643" s="320"/>
      <c r="C1643" s="320"/>
      <c r="D1643" s="44"/>
      <c r="E1643" s="38" t="s">
        <v>326</v>
      </c>
      <c r="F1643" s="38"/>
      <c r="G1643" s="318" t="s">
        <v>448</v>
      </c>
      <c r="H1643" s="38" t="s">
        <v>62</v>
      </c>
      <c r="I1643" s="282">
        <f t="shared" si="331"/>
        <v>0</v>
      </c>
      <c r="J1643" s="282">
        <f t="shared" si="331"/>
        <v>281.88</v>
      </c>
      <c r="K1643" s="282">
        <f t="shared" si="331"/>
        <v>281.88</v>
      </c>
      <c r="L1643" s="34"/>
      <c r="M1643" s="34"/>
      <c r="N1643" s="410"/>
      <c r="O1643" s="196"/>
      <c r="Q1643" s="35"/>
      <c r="S1643" s="268"/>
    </row>
    <row r="1644" spans="1:19" ht="20.100000000000001" hidden="1" customHeight="1" x14ac:dyDescent="0.25">
      <c r="A1644" s="324"/>
      <c r="B1644" s="324"/>
      <c r="C1644" s="320"/>
      <c r="D1644" s="44"/>
      <c r="E1644" s="38"/>
      <c r="F1644" s="394" t="s">
        <v>327</v>
      </c>
      <c r="G1644" s="397" t="s">
        <v>448</v>
      </c>
      <c r="H1644" s="394" t="s">
        <v>62</v>
      </c>
      <c r="I1644" s="395">
        <v>0</v>
      </c>
      <c r="J1644" s="395">
        <f>K1644-I1644</f>
        <v>281.88</v>
      </c>
      <c r="K1644" s="395">
        <v>281.88</v>
      </c>
      <c r="L1644" s="34"/>
      <c r="M1644" s="34"/>
      <c r="N1644" s="410"/>
      <c r="O1644" s="196"/>
      <c r="Q1644" s="35"/>
      <c r="S1644" s="268"/>
    </row>
    <row r="1645" spans="1:19" ht="32.1" customHeight="1" x14ac:dyDescent="0.25">
      <c r="A1645" s="318"/>
      <c r="B1645" s="317">
        <v>42</v>
      </c>
      <c r="C1645" s="318"/>
      <c r="D1645" s="214"/>
      <c r="E1645" s="318"/>
      <c r="F1645" s="318"/>
      <c r="G1645" s="328" t="s">
        <v>448</v>
      </c>
      <c r="H1645" s="319" t="s">
        <v>63</v>
      </c>
      <c r="I1645" s="281">
        <f t="shared" ref="I1645:K1650" si="332">I1646</f>
        <v>3118.99</v>
      </c>
      <c r="J1645" s="281">
        <f t="shared" si="332"/>
        <v>0</v>
      </c>
      <c r="K1645" s="281">
        <f t="shared" si="332"/>
        <v>3118.9900000000002</v>
      </c>
      <c r="L1645" s="34"/>
      <c r="M1645" s="34"/>
      <c r="N1645" s="410"/>
      <c r="O1645" s="196"/>
      <c r="Q1645" s="35"/>
      <c r="S1645" s="268"/>
    </row>
    <row r="1646" spans="1:19" ht="20.100000000000001" hidden="1" customHeight="1" x14ac:dyDescent="0.25">
      <c r="A1646" s="317"/>
      <c r="B1646" s="317"/>
      <c r="C1646" s="317">
        <v>422</v>
      </c>
      <c r="D1646" s="42"/>
      <c r="E1646" s="317"/>
      <c r="F1646" s="317"/>
      <c r="G1646" s="328" t="s">
        <v>448</v>
      </c>
      <c r="H1646" s="319" t="s">
        <v>64</v>
      </c>
      <c r="I1646" s="281">
        <f t="shared" si="332"/>
        <v>3118.99</v>
      </c>
      <c r="J1646" s="281">
        <f>J1647</f>
        <v>0</v>
      </c>
      <c r="K1646" s="281">
        <f t="shared" si="332"/>
        <v>3118.9900000000002</v>
      </c>
      <c r="L1646" s="34"/>
      <c r="M1646" s="34"/>
      <c r="N1646" s="410"/>
      <c r="O1646" s="196"/>
      <c r="Q1646" s="35"/>
      <c r="S1646" s="268"/>
    </row>
    <row r="1647" spans="1:19" ht="20.100000000000001" hidden="1" customHeight="1" x14ac:dyDescent="0.25">
      <c r="A1647" s="320"/>
      <c r="B1647" s="320"/>
      <c r="C1647" s="320"/>
      <c r="D1647" s="44">
        <v>4221</v>
      </c>
      <c r="E1647" s="320"/>
      <c r="F1647" s="320"/>
      <c r="G1647" s="318" t="s">
        <v>448</v>
      </c>
      <c r="H1647" s="322" t="s">
        <v>65</v>
      </c>
      <c r="I1647" s="366">
        <f>I1650+I1648</f>
        <v>3118.99</v>
      </c>
      <c r="J1647" s="366">
        <f t="shared" ref="J1647:K1647" si="333">J1650+J1648</f>
        <v>0</v>
      </c>
      <c r="K1647" s="366">
        <f t="shared" si="333"/>
        <v>3118.9900000000002</v>
      </c>
      <c r="L1647" s="34"/>
      <c r="M1647" s="34"/>
      <c r="N1647" s="410"/>
      <c r="O1647" s="196"/>
      <c r="Q1647" s="35"/>
      <c r="S1647" s="268"/>
    </row>
    <row r="1648" spans="1:19" ht="20.100000000000001" hidden="1" customHeight="1" x14ac:dyDescent="0.25">
      <c r="A1648" s="320"/>
      <c r="B1648" s="320"/>
      <c r="C1648" s="320"/>
      <c r="D1648" s="44"/>
      <c r="E1648" s="396">
        <v>42219</v>
      </c>
      <c r="F1648" s="396"/>
      <c r="G1648" s="397" t="s">
        <v>448</v>
      </c>
      <c r="H1648" s="394" t="s">
        <v>479</v>
      </c>
      <c r="I1648" s="398">
        <f>I1649</f>
        <v>0</v>
      </c>
      <c r="J1648" s="398">
        <f>J1649</f>
        <v>270.89999999999998</v>
      </c>
      <c r="K1648" s="398">
        <f>K1649</f>
        <v>270.89999999999998</v>
      </c>
      <c r="L1648" s="34"/>
      <c r="M1648" s="34"/>
      <c r="N1648" s="410"/>
      <c r="O1648" s="196"/>
      <c r="Q1648" s="35"/>
      <c r="S1648" s="268"/>
    </row>
    <row r="1649" spans="1:19" ht="20.100000000000001" hidden="1" customHeight="1" x14ac:dyDescent="0.25">
      <c r="A1649" s="320"/>
      <c r="B1649" s="320"/>
      <c r="C1649" s="320"/>
      <c r="D1649" s="44"/>
      <c r="E1649" s="320"/>
      <c r="F1649" s="320">
        <v>422190</v>
      </c>
      <c r="G1649" s="318" t="s">
        <v>448</v>
      </c>
      <c r="H1649" s="38" t="s">
        <v>479</v>
      </c>
      <c r="I1649" s="366">
        <v>0</v>
      </c>
      <c r="J1649" s="366">
        <f>K1649-I1649</f>
        <v>270.89999999999998</v>
      </c>
      <c r="K1649" s="366">
        <v>270.89999999999998</v>
      </c>
      <c r="L1649" s="34"/>
      <c r="M1649" s="34"/>
      <c r="N1649" s="410"/>
      <c r="O1649" s="196"/>
      <c r="Q1649" s="35"/>
      <c r="S1649" s="268"/>
    </row>
    <row r="1650" spans="1:19" ht="20.100000000000001" hidden="1" customHeight="1" x14ac:dyDescent="0.25">
      <c r="A1650" s="320"/>
      <c r="B1650" s="320"/>
      <c r="C1650" s="320"/>
      <c r="D1650" s="44"/>
      <c r="E1650" s="38" t="s">
        <v>328</v>
      </c>
      <c r="F1650" s="38"/>
      <c r="G1650" s="214" t="s">
        <v>448</v>
      </c>
      <c r="H1650" s="38" t="s">
        <v>329</v>
      </c>
      <c r="I1650" s="282">
        <f t="shared" si="332"/>
        <v>3118.99</v>
      </c>
      <c r="J1650" s="282">
        <f t="shared" si="332"/>
        <v>-270.89999999999964</v>
      </c>
      <c r="K1650" s="282">
        <f t="shared" si="332"/>
        <v>2848.09</v>
      </c>
      <c r="L1650" s="34"/>
      <c r="M1650" s="34"/>
      <c r="N1650" s="410"/>
      <c r="O1650" s="196"/>
      <c r="Q1650" s="35"/>
      <c r="S1650" s="268"/>
    </row>
    <row r="1651" spans="1:19" ht="20.100000000000001" hidden="1" customHeight="1" x14ac:dyDescent="0.25">
      <c r="A1651" s="324"/>
      <c r="B1651" s="324"/>
      <c r="C1651" s="320"/>
      <c r="D1651" s="44"/>
      <c r="E1651" s="38"/>
      <c r="F1651" s="382" t="s">
        <v>330</v>
      </c>
      <c r="G1651" s="388" t="s">
        <v>448</v>
      </c>
      <c r="H1651" s="382" t="s">
        <v>329</v>
      </c>
      <c r="I1651" s="381">
        <v>3118.99</v>
      </c>
      <c r="J1651" s="381">
        <f>K1651-I1651</f>
        <v>-270.89999999999964</v>
      </c>
      <c r="K1651" s="381">
        <v>2848.09</v>
      </c>
      <c r="L1651" s="34"/>
      <c r="M1651" s="34"/>
      <c r="N1651" s="410"/>
      <c r="O1651" s="196"/>
      <c r="Q1651" s="35"/>
      <c r="S1651" s="268"/>
    </row>
    <row r="1652" spans="1:19" s="21" customFormat="1" ht="20.100000000000001" customHeight="1" x14ac:dyDescent="0.25">
      <c r="A1652" s="231"/>
      <c r="B1652" s="231"/>
      <c r="C1652" s="231"/>
      <c r="D1652" s="231"/>
      <c r="E1652" s="231"/>
      <c r="F1652" s="232"/>
      <c r="G1652" s="233"/>
      <c r="H1652" s="43" t="s">
        <v>364</v>
      </c>
      <c r="I1652" s="281">
        <f>I6+I277+I291+I533+I574+I591+I712+I988+I1042+I1193+I1376+I284+I854+I1003+I1289+I241+I262+I702+I1470+I219+I1529+I1478+I1547+I1639+I522+I529</f>
        <v>3417954.9400000004</v>
      </c>
      <c r="J1652" s="281">
        <f t="shared" ref="J1652:K1652" si="334">J6+J277+J291+J533+J574+J591+J712+J988+J1042+J1193+J1376+J284+J854+J1003+J1289+J241+J262+J702+J1470+J219+J1529+J1478+J1547+J1639+J522+J529</f>
        <v>211965.25999999998</v>
      </c>
      <c r="K1652" s="281">
        <f t="shared" si="334"/>
        <v>3629920.2</v>
      </c>
      <c r="L1652" s="45">
        <f t="shared" ref="L1652:M1652" si="335">L1661</f>
        <v>12640800</v>
      </c>
      <c r="M1652" s="45">
        <f t="shared" si="335"/>
        <v>12640800</v>
      </c>
      <c r="N1652" s="410"/>
      <c r="O1652" s="196"/>
      <c r="P1652" s="270"/>
      <c r="Q1652" s="20"/>
      <c r="R1652" s="20"/>
      <c r="S1652" s="20"/>
    </row>
    <row r="1653" spans="1:19" s="20" customFormat="1" ht="20.25" customHeight="1" x14ac:dyDescent="0.25">
      <c r="A1653" s="179"/>
      <c r="B1653" s="179"/>
      <c r="C1653" s="179"/>
      <c r="D1653" s="179"/>
      <c r="E1653" s="179"/>
      <c r="F1653" s="411"/>
      <c r="G1653" s="234"/>
      <c r="H1653" s="411"/>
      <c r="I1653" s="415"/>
      <c r="J1653" s="288"/>
      <c r="K1653" s="236"/>
      <c r="L1653" s="145"/>
      <c r="M1653" s="142"/>
      <c r="N1653" s="61"/>
      <c r="O1653" s="19"/>
      <c r="P1653" s="270"/>
    </row>
    <row r="1654" spans="1:19" s="20" customFormat="1" ht="20.25" customHeight="1" x14ac:dyDescent="0.25">
      <c r="A1654" s="460" t="s">
        <v>548</v>
      </c>
      <c r="B1654" s="460"/>
      <c r="C1654" s="460"/>
      <c r="D1654" s="460"/>
      <c r="E1654" s="460"/>
      <c r="F1654" s="460"/>
      <c r="G1654" s="460"/>
      <c r="H1654" s="460"/>
      <c r="I1654" s="415"/>
      <c r="J1654" s="288"/>
      <c r="K1654" s="236"/>
      <c r="L1654" s="145"/>
      <c r="M1654" s="142"/>
      <c r="N1654" s="61"/>
      <c r="O1654" s="19"/>
      <c r="P1654" s="270"/>
    </row>
    <row r="1655" spans="1:19" s="20" customFormat="1" ht="20.25" customHeight="1" x14ac:dyDescent="0.25">
      <c r="A1655" s="411"/>
      <c r="B1655" s="411"/>
      <c r="C1655" s="411"/>
      <c r="D1655" s="411"/>
      <c r="E1655" s="411"/>
      <c r="F1655" s="411"/>
      <c r="G1655" s="234"/>
      <c r="H1655" s="411"/>
      <c r="I1655" s="415"/>
      <c r="J1655" s="288"/>
      <c r="K1655" s="236"/>
      <c r="L1655" s="145"/>
      <c r="M1655" s="142"/>
      <c r="N1655" s="61"/>
      <c r="O1655" s="19"/>
      <c r="P1655" s="270"/>
    </row>
    <row r="1656" spans="1:19" s="20" customFormat="1" ht="20.25" customHeight="1" x14ac:dyDescent="0.25">
      <c r="A1656" s="460" t="s">
        <v>365</v>
      </c>
      <c r="B1656" s="460"/>
      <c r="C1656" s="179"/>
      <c r="D1656" s="179"/>
      <c r="E1656" s="179"/>
      <c r="F1656" s="411"/>
      <c r="G1656" s="234"/>
      <c r="H1656" s="411"/>
      <c r="I1656" s="415"/>
      <c r="J1656" s="413" t="s">
        <v>407</v>
      </c>
      <c r="K1656" s="236"/>
      <c r="L1656" s="145"/>
      <c r="M1656" s="142"/>
      <c r="N1656" s="61"/>
      <c r="O1656" s="19"/>
      <c r="P1656" s="270"/>
    </row>
    <row r="1657" spans="1:19" s="20" customFormat="1" ht="20.25" customHeight="1" x14ac:dyDescent="0.25">
      <c r="A1657" s="460" t="s">
        <v>406</v>
      </c>
      <c r="B1657" s="460"/>
      <c r="C1657" s="460"/>
      <c r="D1657" s="460"/>
      <c r="E1657" s="460"/>
      <c r="F1657" s="460"/>
      <c r="G1657" s="460"/>
      <c r="H1657" s="460"/>
      <c r="I1657" s="415"/>
      <c r="J1657" s="462" t="s">
        <v>440</v>
      </c>
      <c r="K1657" s="462"/>
      <c r="L1657" s="145"/>
      <c r="M1657" s="142"/>
      <c r="N1657" s="61"/>
      <c r="O1657" s="19"/>
      <c r="P1657" s="270"/>
    </row>
    <row r="1658" spans="1:19" s="20" customFormat="1" ht="20.25" customHeight="1" x14ac:dyDescent="0.25">
      <c r="A1658" s="461"/>
      <c r="B1658" s="461"/>
      <c r="C1658" s="461"/>
      <c r="D1658" s="461"/>
      <c r="E1658" s="461"/>
      <c r="F1658" s="461"/>
      <c r="G1658" s="461"/>
      <c r="H1658" s="411"/>
      <c r="I1658" s="415"/>
      <c r="J1658" s="462" t="s">
        <v>428</v>
      </c>
      <c r="K1658" s="462"/>
      <c r="L1658" s="145"/>
      <c r="M1658" s="142"/>
      <c r="N1658" s="61"/>
      <c r="O1658" s="19"/>
      <c r="P1658" s="270"/>
    </row>
    <row r="1659" spans="1:19" s="20" customFormat="1" ht="20.25" customHeight="1" x14ac:dyDescent="0.25">
      <c r="A1659" s="179"/>
      <c r="B1659" s="179"/>
      <c r="C1659" s="179"/>
      <c r="D1659" s="179"/>
      <c r="E1659" s="179"/>
      <c r="F1659" s="411"/>
      <c r="G1659" s="234"/>
      <c r="H1659" s="411"/>
      <c r="I1659" s="415"/>
      <c r="J1659" s="288"/>
      <c r="K1659" s="288"/>
      <c r="L1659" s="145"/>
      <c r="M1659" s="142"/>
      <c r="N1659" s="61"/>
      <c r="O1659" s="19"/>
      <c r="P1659" s="270"/>
    </row>
    <row r="1660" spans="1:19" s="20" customFormat="1" ht="20.25" customHeight="1" x14ac:dyDescent="0.25">
      <c r="A1660" s="177"/>
      <c r="B1660" s="177"/>
      <c r="C1660" s="177"/>
      <c r="D1660" s="177"/>
      <c r="E1660" s="177"/>
      <c r="F1660" s="62"/>
      <c r="G1660" s="182"/>
      <c r="H1660" s="63"/>
      <c r="I1660" s="287"/>
      <c r="J1660" s="287"/>
      <c r="K1660" s="287"/>
      <c r="L1660" s="64"/>
      <c r="M1660" s="64"/>
      <c r="N1660" s="65"/>
      <c r="O1660" s="19"/>
      <c r="P1660" s="270"/>
    </row>
    <row r="1661" spans="1:19" s="20" customFormat="1" ht="20.25" hidden="1" customHeight="1" x14ac:dyDescent="0.25">
      <c r="A1661" s="178"/>
      <c r="B1661" s="178"/>
      <c r="C1661" s="178"/>
      <c r="D1661" s="178"/>
      <c r="E1661" s="178"/>
      <c r="F1661" s="66"/>
      <c r="G1661" s="183"/>
      <c r="H1661" s="63" t="s">
        <v>484</v>
      </c>
      <c r="I1661" s="367"/>
      <c r="J1661" s="367"/>
      <c r="K1661" s="367"/>
      <c r="L1661" s="60">
        <f>L6+L277+L291+L533+L574+L591+L712+L988+L1042+L1193+L1376</f>
        <v>12640800</v>
      </c>
      <c r="M1661" s="60">
        <f>M6+M277+M291+M533+M574+M591+M712+M988+M1042+M1193+M1376</f>
        <v>12640800</v>
      </c>
      <c r="N1661" s="67"/>
      <c r="O1661" s="19"/>
      <c r="P1661" s="270"/>
    </row>
    <row r="1662" spans="1:19" s="20" customFormat="1" ht="20.25" hidden="1" customHeight="1" x14ac:dyDescent="0.25">
      <c r="A1662" s="178"/>
      <c r="B1662" s="178"/>
      <c r="C1662" s="178"/>
      <c r="D1662" s="178"/>
      <c r="E1662" s="178"/>
      <c r="F1662" s="66"/>
      <c r="G1662" s="183"/>
      <c r="H1662" s="63"/>
      <c r="I1662" s="287"/>
      <c r="J1662" s="287"/>
      <c r="K1662" s="287"/>
      <c r="L1662" s="64"/>
      <c r="M1662" s="64"/>
      <c r="N1662" s="65"/>
      <c r="O1662" s="19"/>
      <c r="P1662" s="270"/>
    </row>
    <row r="1663" spans="1:19" s="20" customFormat="1" ht="20.25" hidden="1" customHeight="1" x14ac:dyDescent="0.25">
      <c r="A1663" s="178"/>
      <c r="B1663" s="178"/>
      <c r="C1663" s="178"/>
      <c r="D1663" s="178"/>
      <c r="E1663" s="178"/>
      <c r="F1663" s="66"/>
      <c r="G1663" s="183"/>
      <c r="H1663" s="63"/>
      <c r="I1663" s="287"/>
      <c r="J1663" s="287"/>
      <c r="K1663" s="287"/>
      <c r="L1663" s="64"/>
      <c r="M1663" s="64"/>
      <c r="N1663" s="65"/>
      <c r="O1663" s="19"/>
      <c r="P1663" s="195"/>
    </row>
    <row r="1664" spans="1:19" s="20" customFormat="1" ht="20.25" hidden="1" customHeight="1" x14ac:dyDescent="0.25">
      <c r="A1664" s="178"/>
      <c r="B1664" s="178"/>
      <c r="C1664" s="178"/>
      <c r="D1664" s="178"/>
      <c r="E1664" s="178"/>
      <c r="F1664" s="66"/>
      <c r="G1664" s="183"/>
      <c r="H1664" s="63"/>
      <c r="I1664" s="287"/>
      <c r="J1664" s="287"/>
      <c r="K1664" s="287"/>
      <c r="L1664" s="64"/>
      <c r="M1664" s="64"/>
      <c r="N1664" s="65"/>
      <c r="O1664" s="19"/>
      <c r="P1664" s="270"/>
    </row>
    <row r="1665" spans="1:19" s="268" customFormat="1" ht="15" hidden="1" customHeight="1" x14ac:dyDescent="0.25">
      <c r="A1665" s="179"/>
      <c r="B1665" s="179"/>
      <c r="C1665" s="179">
        <v>311</v>
      </c>
      <c r="D1665" s="180">
        <f>I8+I293+I593+I714+I1044+I1195+I1378+I243+I264</f>
        <v>1293464.77</v>
      </c>
      <c r="E1665" s="180">
        <f>J8+J293+J593+J714+J1044+J1195+J1378+J243+J264</f>
        <v>131554</v>
      </c>
      <c r="F1665" s="68">
        <f>K8+K293+K593+K714+K1044+K1195+K1378+K243+K264</f>
        <v>1425018.77</v>
      </c>
      <c r="G1665" s="184"/>
      <c r="H1665" s="411"/>
      <c r="I1665" s="413"/>
      <c r="J1665" s="288"/>
      <c r="K1665" s="378"/>
      <c r="L1665" s="195"/>
      <c r="M1665" s="195"/>
      <c r="N1665" s="28"/>
      <c r="O1665" s="19"/>
      <c r="P1665" s="411"/>
    </row>
    <row r="1666" spans="1:19" ht="33.75" hidden="1" customHeight="1" x14ac:dyDescent="0.25">
      <c r="C1666" s="179">
        <v>312</v>
      </c>
      <c r="D1666" s="180">
        <f>I21+I310+I603+I724+I1054+I1202</f>
        <v>67202</v>
      </c>
      <c r="E1666" s="180">
        <f>J21+J310+J603+J724+J1054+J1202</f>
        <v>-2030</v>
      </c>
      <c r="F1666" s="68">
        <f>K21+K310+K603+K724+K1054+K1202</f>
        <v>65172</v>
      </c>
      <c r="I1666" s="289"/>
      <c r="J1666" s="289"/>
      <c r="K1666" s="289"/>
      <c r="L1666" s="411"/>
      <c r="M1666" s="411"/>
      <c r="N1666" s="15"/>
      <c r="S1666" s="268"/>
    </row>
    <row r="1667" spans="1:19" s="268" customFormat="1" ht="15" hidden="1" customHeight="1" x14ac:dyDescent="0.25">
      <c r="A1667" s="179"/>
      <c r="B1667" s="179"/>
      <c r="C1667" s="179">
        <v>313</v>
      </c>
      <c r="D1667" s="180">
        <f>I35+I324+I615+I736+I1066+I1204+I1400+I247</f>
        <v>230520</v>
      </c>
      <c r="E1667" s="180">
        <f>J35+J324+J615+J736+J1066+J1204+J1400+J247</f>
        <v>8961</v>
      </c>
      <c r="F1667" s="68">
        <f>K35+K324+K615+K736+K1066+K1204+K1400+K247</f>
        <v>239481</v>
      </c>
      <c r="G1667" s="184"/>
      <c r="H1667" s="411"/>
      <c r="I1667" s="413"/>
      <c r="J1667" s="413"/>
      <c r="K1667" s="413"/>
      <c r="L1667" s="411"/>
      <c r="M1667" s="411"/>
      <c r="N1667" s="15"/>
      <c r="O1667" s="14"/>
      <c r="P1667" s="411"/>
    </row>
    <row r="1668" spans="1:19" s="268" customFormat="1" ht="15" hidden="1" customHeight="1" x14ac:dyDescent="0.25">
      <c r="A1668" s="179"/>
      <c r="B1668" s="179"/>
      <c r="C1668" s="179">
        <v>321</v>
      </c>
      <c r="D1668" s="180">
        <f>I46+I336+I625+I746+I1076+I1214+I257+I272</f>
        <v>68410</v>
      </c>
      <c r="E1668" s="180">
        <f>J46+J336+J625+J746+J1076+J1214+J257+J272</f>
        <v>1696.25</v>
      </c>
      <c r="F1668" s="68">
        <f>K46+K336+K625+K746+K1076+K1214+K257+K272</f>
        <v>70106.25</v>
      </c>
      <c r="G1668" s="184"/>
      <c r="H1668" s="411"/>
      <c r="I1668" s="290"/>
      <c r="J1668" s="290"/>
      <c r="K1668" s="290"/>
      <c r="L1668" s="68"/>
      <c r="M1668" s="68"/>
      <c r="N1668" s="36"/>
      <c r="O1668" s="14"/>
      <c r="P1668" s="411"/>
    </row>
    <row r="1669" spans="1:19" s="268" customFormat="1" ht="15" hidden="1" customHeight="1" x14ac:dyDescent="0.25">
      <c r="A1669" s="179"/>
      <c r="B1669" s="179"/>
      <c r="C1669" s="179">
        <v>322</v>
      </c>
      <c r="D1669" s="180">
        <f>I67+I357+I646+I772+I1097+I1230+I1426</f>
        <v>586128.41</v>
      </c>
      <c r="E1669" s="180">
        <f>J67+J357+J646+J772+J1097+J1230+J1426</f>
        <v>72358.989999999991</v>
      </c>
      <c r="F1669" s="68">
        <f>K67+K357+K646+K772+K1097+K1230+K1426</f>
        <v>658487.4</v>
      </c>
      <c r="G1669" s="184"/>
      <c r="H1669" s="411"/>
      <c r="I1669" s="290"/>
      <c r="J1669" s="290"/>
      <c r="K1669" s="290"/>
      <c r="L1669" s="411"/>
      <c r="M1669" s="411"/>
      <c r="N1669" s="15"/>
      <c r="O1669" s="14"/>
      <c r="P1669" s="411"/>
    </row>
    <row r="1670" spans="1:19" s="268" customFormat="1" ht="15" hidden="1" customHeight="1" x14ac:dyDescent="0.25">
      <c r="A1670" s="179"/>
      <c r="B1670" s="179"/>
      <c r="C1670" s="179">
        <v>323</v>
      </c>
      <c r="D1670" s="180">
        <f>I105+I401+I673+I799+I1121+I1254+I1449</f>
        <v>416223.07</v>
      </c>
      <c r="E1670" s="180">
        <f>J105+J401+J673+J799+J1121+J1254+J1449</f>
        <v>-14525</v>
      </c>
      <c r="F1670" s="68">
        <f>K105+K401+K673+K799+K1121+K1254+K1449</f>
        <v>401698.07</v>
      </c>
      <c r="G1670" s="184"/>
      <c r="H1670" s="411"/>
      <c r="I1670" s="290"/>
      <c r="J1670" s="290"/>
      <c r="K1670" s="290"/>
      <c r="L1670" s="68"/>
      <c r="M1670" s="68"/>
      <c r="N1670" s="36"/>
      <c r="O1670" s="14"/>
      <c r="P1670" s="411"/>
    </row>
    <row r="1671" spans="1:19" s="268" customFormat="1" ht="15" hidden="1" customHeight="1" x14ac:dyDescent="0.25">
      <c r="A1671" s="179"/>
      <c r="B1671" s="179"/>
      <c r="C1671" s="179">
        <v>324</v>
      </c>
      <c r="D1671" s="180">
        <f>I279+I465</f>
        <v>0</v>
      </c>
      <c r="E1671" s="180">
        <f>J279+J465</f>
        <v>0</v>
      </c>
      <c r="F1671" s="68">
        <f>K279+K465</f>
        <v>0</v>
      </c>
      <c r="G1671" s="184"/>
      <c r="H1671" s="411"/>
      <c r="I1671" s="290"/>
      <c r="J1671" s="290"/>
      <c r="K1671" s="290"/>
      <c r="L1671" s="411"/>
      <c r="M1671" s="411"/>
      <c r="N1671" s="15"/>
      <c r="O1671" s="14"/>
      <c r="P1671" s="411"/>
    </row>
    <row r="1672" spans="1:19" s="268" customFormat="1" ht="15" hidden="1" customHeight="1" x14ac:dyDescent="0.25">
      <c r="A1672" s="179"/>
      <c r="B1672" s="179"/>
      <c r="C1672" s="179">
        <v>329</v>
      </c>
      <c r="D1672" s="180">
        <f>I469+I1283</f>
        <v>47030</v>
      </c>
      <c r="E1672" s="180">
        <f>J469+J1283</f>
        <v>11900</v>
      </c>
      <c r="F1672" s="68">
        <f>K469+K1283</f>
        <v>58930</v>
      </c>
      <c r="G1672" s="184"/>
      <c r="H1672" s="411"/>
      <c r="I1672" s="290"/>
      <c r="J1672" s="290"/>
      <c r="K1672" s="290"/>
      <c r="L1672" s="411"/>
      <c r="M1672" s="411"/>
      <c r="N1672" s="15"/>
      <c r="O1672" s="14"/>
      <c r="P1672" s="411"/>
    </row>
    <row r="1673" spans="1:19" s="268" customFormat="1" ht="15" hidden="1" customHeight="1" x14ac:dyDescent="0.25">
      <c r="A1673" s="179"/>
      <c r="B1673" s="179"/>
      <c r="C1673" s="179">
        <v>343</v>
      </c>
      <c r="D1673" s="180">
        <f>I502+I843</f>
        <v>2900</v>
      </c>
      <c r="E1673" s="180">
        <f>J502+J843</f>
        <v>500</v>
      </c>
      <c r="F1673" s="68">
        <f>K502+K843</f>
        <v>3400</v>
      </c>
      <c r="G1673" s="184"/>
      <c r="H1673" s="411"/>
      <c r="I1673" s="290"/>
      <c r="J1673" s="290"/>
      <c r="K1673" s="290"/>
      <c r="L1673" s="411"/>
      <c r="M1673" s="411"/>
      <c r="N1673" s="15"/>
      <c r="O1673" s="14"/>
      <c r="P1673" s="411"/>
    </row>
    <row r="1674" spans="1:19" s="268" customFormat="1" ht="15" hidden="1" customHeight="1" x14ac:dyDescent="0.25">
      <c r="A1674" s="179"/>
      <c r="B1674" s="179"/>
      <c r="C1674" s="179">
        <v>372</v>
      </c>
      <c r="D1674" s="180">
        <f>I512</f>
        <v>0</v>
      </c>
      <c r="E1674" s="180">
        <f>J512</f>
        <v>0</v>
      </c>
      <c r="F1674" s="68">
        <f>K512</f>
        <v>0</v>
      </c>
      <c r="G1674" s="184"/>
      <c r="H1674" s="411"/>
      <c r="I1674" s="290"/>
      <c r="J1674" s="290"/>
      <c r="K1674" s="290"/>
      <c r="L1674" s="411"/>
      <c r="M1674" s="411"/>
      <c r="N1674" s="15"/>
      <c r="O1674" s="14"/>
      <c r="P1674" s="411"/>
    </row>
    <row r="1675" spans="1:19" s="268" customFormat="1" ht="15" hidden="1" customHeight="1" x14ac:dyDescent="0.25">
      <c r="A1675" s="179"/>
      <c r="B1675" s="179"/>
      <c r="C1675" s="179">
        <v>381</v>
      </c>
      <c r="D1675" s="180">
        <f>I517</f>
        <v>0</v>
      </c>
      <c r="E1675" s="180">
        <f>J517</f>
        <v>0</v>
      </c>
      <c r="F1675" s="68">
        <f>K517</f>
        <v>0</v>
      </c>
      <c r="G1675" s="184"/>
      <c r="H1675" s="411"/>
      <c r="I1675" s="413"/>
      <c r="J1675" s="413"/>
      <c r="K1675" s="413"/>
      <c r="L1675" s="411"/>
      <c r="M1675" s="411"/>
      <c r="N1675" s="15"/>
      <c r="O1675" s="14"/>
      <c r="P1675" s="411"/>
    </row>
    <row r="1676" spans="1:19" s="268" customFormat="1" ht="15" hidden="1" customHeight="1" x14ac:dyDescent="0.25">
      <c r="A1676" s="179"/>
      <c r="B1676" s="179"/>
      <c r="C1676" s="179">
        <v>412</v>
      </c>
      <c r="D1676" s="180">
        <f>I535+I990+I1020+I1175+I576</f>
        <v>2000</v>
      </c>
      <c r="E1676" s="180">
        <f>J535+J990+J1020+J1175+J576</f>
        <v>0</v>
      </c>
      <c r="F1676" s="68">
        <f>K535+K990+K1020+K1175+K576</f>
        <v>2000</v>
      </c>
      <c r="G1676" s="184"/>
      <c r="H1676" s="68"/>
      <c r="I1676" s="290"/>
      <c r="J1676" s="290"/>
      <c r="K1676" s="290"/>
      <c r="L1676" s="411"/>
      <c r="M1676" s="411"/>
      <c r="N1676" s="15"/>
      <c r="O1676" s="14"/>
      <c r="P1676" s="411"/>
    </row>
    <row r="1677" spans="1:19" s="268" customFormat="1" ht="15" hidden="1" customHeight="1" x14ac:dyDescent="0.25">
      <c r="A1677" s="179"/>
      <c r="B1677" s="179"/>
      <c r="C1677" s="179">
        <v>422</v>
      </c>
      <c r="D1677" s="180">
        <f>I540+I704+I995+I1025+I1180+I581+I1472</f>
        <v>175610</v>
      </c>
      <c r="E1677" s="180">
        <f>J540+J704+J995+J1025+J1180+J581+J1472</f>
        <v>283050</v>
      </c>
      <c r="F1677" s="68">
        <f>K540+K704+K995+K1025+K1180+K581+K1472</f>
        <v>458660</v>
      </c>
      <c r="G1677" s="184"/>
      <c r="H1677" s="411"/>
      <c r="I1677" s="290"/>
      <c r="J1677" s="290"/>
      <c r="K1677" s="290"/>
      <c r="L1677" s="411"/>
      <c r="M1677" s="411"/>
      <c r="N1677" s="15"/>
      <c r="O1677" s="14"/>
      <c r="P1677" s="411"/>
    </row>
    <row r="1678" spans="1:19" s="268" customFormat="1" ht="15" hidden="1" customHeight="1" x14ac:dyDescent="0.25">
      <c r="A1678" s="179"/>
      <c r="B1678" s="179"/>
      <c r="C1678" s="179">
        <v>423</v>
      </c>
      <c r="D1678" s="180">
        <f>I560+I585</f>
        <v>0</v>
      </c>
      <c r="E1678" s="180">
        <f>J560+J585</f>
        <v>0</v>
      </c>
      <c r="F1678" s="68">
        <f>K560+K585</f>
        <v>0</v>
      </c>
      <c r="G1678" s="184"/>
      <c r="H1678" s="411"/>
      <c r="I1678" s="413"/>
      <c r="J1678" s="413"/>
      <c r="K1678" s="413"/>
      <c r="L1678" s="411"/>
      <c r="M1678" s="411"/>
      <c r="N1678" s="15"/>
      <c r="O1678" s="14"/>
      <c r="P1678" s="411"/>
    </row>
    <row r="1679" spans="1:19" s="268" customFormat="1" ht="15" hidden="1" customHeight="1" x14ac:dyDescent="0.25">
      <c r="A1679" s="179"/>
      <c r="B1679" s="179"/>
      <c r="C1679" s="179">
        <v>426</v>
      </c>
      <c r="D1679" s="180">
        <f>I564+I1036</f>
        <v>5000</v>
      </c>
      <c r="E1679" s="180">
        <f>J564+J1036</f>
        <v>0</v>
      </c>
      <c r="F1679" s="68">
        <f>K564+K1036</f>
        <v>5000</v>
      </c>
      <c r="G1679" s="184"/>
      <c r="H1679" s="411"/>
      <c r="I1679" s="290"/>
      <c r="J1679" s="290"/>
      <c r="K1679" s="290"/>
      <c r="L1679" s="411"/>
      <c r="M1679" s="411"/>
      <c r="N1679" s="15"/>
      <c r="O1679" s="14"/>
      <c r="P1679" s="411"/>
    </row>
    <row r="1680" spans="1:19" s="268" customFormat="1" ht="15" hidden="1" customHeight="1" x14ac:dyDescent="0.25">
      <c r="A1680" s="179"/>
      <c r="B1680" s="179"/>
      <c r="C1680" s="179"/>
      <c r="D1680" s="180"/>
      <c r="E1680" s="180"/>
      <c r="F1680" s="68"/>
      <c r="G1680" s="184"/>
      <c r="H1680" s="411"/>
      <c r="I1680" s="290"/>
      <c r="J1680" s="290"/>
      <c r="K1680" s="290"/>
      <c r="L1680" s="411"/>
      <c r="M1680" s="411"/>
      <c r="N1680" s="15"/>
      <c r="O1680" s="14"/>
      <c r="P1680" s="411"/>
    </row>
    <row r="1681" spans="1:18" ht="15" hidden="1" customHeight="1" x14ac:dyDescent="0.25">
      <c r="D1681" s="180">
        <f>D1665+D1666+D1667+D1668+D1669+D1670+D1671+D1672+D1673+D1674+D1675+D1676+D1677+D1678+D1679</f>
        <v>2894488.25</v>
      </c>
      <c r="E1681" s="180">
        <f t="shared" ref="E1681:F1681" si="336">E1665+E1666+E1667+E1668+E1669+E1670+E1671+E1672+E1673+E1674+E1675+E1676+E1677+E1678+E1679</f>
        <v>493465.24</v>
      </c>
      <c r="F1681" s="68">
        <f t="shared" si="336"/>
        <v>3387953.4899999998</v>
      </c>
    </row>
    <row r="1682" spans="1:18" ht="15" hidden="1" customHeight="1" x14ac:dyDescent="0.25">
      <c r="D1682" s="180"/>
      <c r="L1682" s="194"/>
      <c r="M1682" s="194"/>
      <c r="O1682" s="13"/>
      <c r="P1682" s="412"/>
      <c r="Q1682" s="194"/>
      <c r="R1682" s="194"/>
    </row>
    <row r="1683" spans="1:18" ht="15" hidden="1" customHeight="1" x14ac:dyDescent="0.25">
      <c r="C1683" s="179" t="s">
        <v>366</v>
      </c>
      <c r="L1683" s="194"/>
      <c r="M1683" s="194"/>
      <c r="O1683" s="13"/>
      <c r="P1683" s="412"/>
      <c r="Q1683" s="194"/>
      <c r="R1683" s="194"/>
    </row>
    <row r="1684" spans="1:18" ht="15" hidden="1" customHeight="1" x14ac:dyDescent="0.25">
      <c r="H1684" s="60"/>
      <c r="L1684" s="194"/>
      <c r="M1684" s="194"/>
      <c r="O1684" s="13"/>
      <c r="P1684" s="412"/>
      <c r="Q1684" s="194"/>
      <c r="R1684" s="194"/>
    </row>
    <row r="1685" spans="1:18" ht="15" customHeight="1" x14ac:dyDescent="0.25">
      <c r="A1685" s="180"/>
      <c r="D1685" s="180"/>
      <c r="L1685" s="194"/>
      <c r="M1685" s="194"/>
      <c r="O1685" s="13"/>
      <c r="P1685" s="412"/>
      <c r="Q1685" s="194"/>
      <c r="R1685" s="194"/>
    </row>
    <row r="1686" spans="1:18" ht="15" customHeight="1" x14ac:dyDescent="0.25">
      <c r="A1686" s="180"/>
      <c r="L1686" s="194"/>
      <c r="M1686" s="194"/>
      <c r="O1686" s="13"/>
      <c r="P1686" s="412"/>
      <c r="Q1686" s="194"/>
      <c r="R1686" s="194"/>
    </row>
    <row r="1687" spans="1:18" ht="15" customHeight="1" x14ac:dyDescent="0.25">
      <c r="A1687" s="180"/>
      <c r="L1687" s="194"/>
      <c r="M1687" s="194"/>
      <c r="O1687" s="13"/>
      <c r="P1687" s="412"/>
      <c r="Q1687" s="194"/>
      <c r="R1687" s="194"/>
    </row>
    <row r="1688" spans="1:18" ht="15" customHeight="1" x14ac:dyDescent="0.25">
      <c r="D1688" s="180"/>
      <c r="L1688" s="194"/>
      <c r="M1688" s="194"/>
      <c r="O1688" s="13"/>
      <c r="P1688" s="412"/>
      <c r="Q1688" s="194"/>
      <c r="R1688" s="194"/>
    </row>
    <row r="1689" spans="1:18" ht="15" customHeight="1" x14ac:dyDescent="0.25">
      <c r="L1689" s="194"/>
      <c r="M1689" s="194"/>
      <c r="O1689" s="13"/>
      <c r="P1689" s="412"/>
      <c r="Q1689" s="194"/>
      <c r="R1689" s="194"/>
    </row>
    <row r="1690" spans="1:18" ht="15" customHeight="1" x14ac:dyDescent="0.25">
      <c r="F1690" s="68"/>
      <c r="L1690" s="194"/>
      <c r="M1690" s="194"/>
      <c r="O1690" s="13"/>
      <c r="P1690" s="412"/>
      <c r="Q1690" s="194"/>
      <c r="R1690" s="194"/>
    </row>
    <row r="1691" spans="1:18" ht="15" hidden="1" customHeight="1" x14ac:dyDescent="0.25">
      <c r="L1691" s="194"/>
      <c r="M1691" s="194"/>
      <c r="O1691" s="13"/>
      <c r="P1691" s="412"/>
      <c r="Q1691" s="194"/>
      <c r="R1691" s="194"/>
    </row>
    <row r="1692" spans="1:18" ht="15" hidden="1" customHeight="1" x14ac:dyDescent="0.25">
      <c r="A1692" s="180">
        <f>I6+I277+I241+I262+I291+I591+I712+I1042+I1193+I1376+I284+I854</f>
        <v>2692208.48</v>
      </c>
      <c r="B1692" s="180">
        <f>J6+J277+J241+J262+J291+J591+J712+J1042+J1193+J1376+J284+J854</f>
        <v>134000.24</v>
      </c>
      <c r="C1692" s="180">
        <f>K6+K277+K241+K262+K291+K591+K712+K1042+K1193+K1376+K284+K854</f>
        <v>2826208.72</v>
      </c>
      <c r="L1692" s="194"/>
      <c r="M1692" s="194"/>
      <c r="O1692" s="13"/>
      <c r="P1692" s="412"/>
      <c r="Q1692" s="194"/>
      <c r="R1692" s="194"/>
    </row>
    <row r="1693" spans="1:18" ht="15" hidden="1" customHeight="1" x14ac:dyDescent="0.25">
      <c r="A1693" s="180">
        <f>I533+I574+I988+I1003+I1470+I702</f>
        <v>182610</v>
      </c>
      <c r="B1693" s="180">
        <f>J533+J574+J988+J1003+J1470+J702</f>
        <v>336500</v>
      </c>
      <c r="C1693" s="180">
        <f>K533+K574+K988+K1003+K1470+K702</f>
        <v>519110</v>
      </c>
      <c r="L1693" s="194"/>
      <c r="M1693" s="194"/>
      <c r="O1693" s="13"/>
      <c r="P1693" s="412"/>
      <c r="Q1693" s="194"/>
      <c r="R1693" s="194"/>
    </row>
    <row r="1694" spans="1:18" ht="15" hidden="1" customHeight="1" x14ac:dyDescent="0.25">
      <c r="A1694" s="238">
        <f>A1692+A1693</f>
        <v>2874818.48</v>
      </c>
      <c r="B1694" s="238">
        <f t="shared" ref="B1694:C1694" si="337">B1692+B1693</f>
        <v>470500.24</v>
      </c>
      <c r="C1694" s="238">
        <f t="shared" si="337"/>
        <v>3345318.72</v>
      </c>
      <c r="L1694" s="194"/>
      <c r="M1694" s="194"/>
      <c r="O1694" s="13"/>
      <c r="P1694" s="412"/>
      <c r="Q1694" s="194"/>
      <c r="R1694" s="194"/>
    </row>
    <row r="1695" spans="1:18" hidden="1" x14ac:dyDescent="0.25"/>
    <row r="1696" spans="1:18" hidden="1" x14ac:dyDescent="0.25"/>
    <row r="1697" spans="1:20" hidden="1" x14ac:dyDescent="0.25">
      <c r="C1697" s="179" t="s">
        <v>436</v>
      </c>
    </row>
    <row r="1698" spans="1:20" hidden="1" x14ac:dyDescent="0.25">
      <c r="A1698" s="179" t="s">
        <v>430</v>
      </c>
      <c r="B1698" s="180">
        <f>K6</f>
        <v>1400000</v>
      </c>
      <c r="C1698" s="236">
        <f>' PLAN PRIHODA 2023-II REBALANS '!K59</f>
        <v>1400000</v>
      </c>
    </row>
    <row r="1699" spans="1:20" hidden="1" x14ac:dyDescent="0.25">
      <c r="A1699" s="179" t="s">
        <v>472</v>
      </c>
      <c r="B1699" s="180">
        <f>K262</f>
        <v>0</v>
      </c>
      <c r="C1699" s="236">
        <f>' PLAN PRIHODA 2023-II REBALANS '!K12</f>
        <v>92350</v>
      </c>
    </row>
    <row r="1700" spans="1:20" hidden="1" x14ac:dyDescent="0.25">
      <c r="A1700" s="179" t="s">
        <v>471</v>
      </c>
      <c r="B1700" s="180">
        <f>I241</f>
        <v>34500</v>
      </c>
      <c r="C1700" s="236">
        <f>' PLAN PRIHODA 2023-II REBALANS '!K10</f>
        <v>0</v>
      </c>
    </row>
    <row r="1701" spans="1:20" hidden="1" x14ac:dyDescent="0.25">
      <c r="A1701" s="179" t="s">
        <v>431</v>
      </c>
      <c r="B1701" s="180">
        <f>K291+K533+K591+K1042+K1376+K702+K1470</f>
        <v>1841692.7</v>
      </c>
      <c r="C1701" s="236">
        <f>' PLAN PRIHODA 2023-II REBALANS '!K35+' PLAN PRIHODA 2023-II REBALANS '!K48+' PLAN PRIHODA 2023-II REBALANS '!K42</f>
        <v>841692.23</v>
      </c>
      <c r="E1701" s="180"/>
    </row>
    <row r="1702" spans="1:20" hidden="1" x14ac:dyDescent="0.25">
      <c r="A1702" s="179" t="s">
        <v>432</v>
      </c>
      <c r="B1702" s="180">
        <f>K712+K988</f>
        <v>29199.02</v>
      </c>
      <c r="C1702" s="236">
        <f>' PLAN PRIHODA 2023-II REBALANS '!K18</f>
        <v>147920.47999999998</v>
      </c>
      <c r="G1702" s="235"/>
    </row>
    <row r="1703" spans="1:20" hidden="1" x14ac:dyDescent="0.25">
      <c r="A1703" s="179" t="s">
        <v>433</v>
      </c>
      <c r="B1703" s="180">
        <f>K284+K854+K1003</f>
        <v>0</v>
      </c>
    </row>
    <row r="1704" spans="1:20" hidden="1" x14ac:dyDescent="0.25">
      <c r="A1704" s="179" t="s">
        <v>434</v>
      </c>
      <c r="B1704" s="180">
        <f>K574</f>
        <v>110</v>
      </c>
      <c r="C1704" s="236">
        <f>' PLAN PRIHODA 2023-II REBALANS '!K66</f>
        <v>110</v>
      </c>
    </row>
    <row r="1705" spans="1:20" hidden="1" x14ac:dyDescent="0.25">
      <c r="A1705" s="179" t="s">
        <v>435</v>
      </c>
      <c r="B1705" s="180">
        <f>K1193</f>
        <v>39817</v>
      </c>
      <c r="C1705" s="236">
        <f>' PLAN PRIHODA 2023-II REBALANS '!K54</f>
        <v>39817</v>
      </c>
    </row>
    <row r="1706" spans="1:20" hidden="1" x14ac:dyDescent="0.25">
      <c r="B1706" s="180">
        <f>SUM(B1698:B1705)</f>
        <v>3345318.72</v>
      </c>
      <c r="C1706" s="180">
        <f>SUM(C1698:C1705)</f>
        <v>2521889.71</v>
      </c>
      <c r="E1706" s="180">
        <f>B1706-C1706</f>
        <v>823429.01000000024</v>
      </c>
    </row>
    <row r="1707" spans="1:20" hidden="1" x14ac:dyDescent="0.25">
      <c r="E1707" s="180"/>
    </row>
    <row r="1708" spans="1:20" s="411" customFormat="1" hidden="1" x14ac:dyDescent="0.25">
      <c r="A1708" s="179"/>
      <c r="B1708" s="179" t="s">
        <v>474</v>
      </c>
      <c r="C1708" s="179"/>
      <c r="D1708" s="179"/>
      <c r="E1708" s="236"/>
      <c r="G1708" s="184"/>
      <c r="I1708" s="413"/>
      <c r="J1708" s="413"/>
      <c r="K1708" s="413"/>
      <c r="L1708" s="412"/>
      <c r="M1708" s="412"/>
      <c r="N1708" s="13"/>
      <c r="O1708" s="14"/>
      <c r="Q1708" s="268"/>
      <c r="R1708" s="268"/>
      <c r="S1708" s="194"/>
      <c r="T1708" s="194"/>
    </row>
    <row r="1709" spans="1:20" s="411" customFormat="1" hidden="1" x14ac:dyDescent="0.25">
      <c r="A1709" s="179"/>
      <c r="B1709" s="179"/>
      <c r="C1709" s="179"/>
      <c r="D1709" s="179"/>
      <c r="E1709" s="179"/>
      <c r="G1709" s="184"/>
      <c r="I1709" s="413"/>
      <c r="J1709" s="413"/>
      <c r="K1709" s="413"/>
      <c r="L1709" s="412"/>
      <c r="M1709" s="412"/>
      <c r="N1709" s="13"/>
      <c r="O1709" s="14"/>
      <c r="Q1709" s="268"/>
      <c r="R1709" s="268"/>
      <c r="S1709" s="194"/>
      <c r="T1709" s="194"/>
    </row>
    <row r="1710" spans="1:20" s="411" customFormat="1" hidden="1" x14ac:dyDescent="0.25">
      <c r="A1710" s="179"/>
      <c r="B1710" s="179"/>
      <c r="C1710" s="179"/>
      <c r="D1710" s="179"/>
      <c r="E1710" s="179"/>
      <c r="G1710" s="184"/>
      <c r="I1710" s="413"/>
      <c r="J1710" s="413"/>
      <c r="K1710" s="413"/>
      <c r="L1710" s="412"/>
      <c r="M1710" s="412"/>
      <c r="N1710" s="13"/>
      <c r="O1710" s="14"/>
      <c r="Q1710" s="268"/>
      <c r="R1710" s="268"/>
      <c r="S1710" s="194"/>
      <c r="T1710" s="194"/>
    </row>
    <row r="1712" spans="1:20" s="411" customFormat="1" x14ac:dyDescent="0.25">
      <c r="A1712" s="179"/>
      <c r="B1712" s="179"/>
      <c r="C1712" s="179"/>
      <c r="D1712" s="179"/>
      <c r="E1712" s="180"/>
      <c r="G1712" s="184"/>
      <c r="I1712" s="413"/>
      <c r="J1712" s="413"/>
      <c r="K1712" s="413"/>
      <c r="L1712" s="412"/>
      <c r="M1712" s="412"/>
      <c r="N1712" s="13"/>
      <c r="O1712" s="14"/>
      <c r="Q1712" s="268"/>
      <c r="R1712" s="268"/>
      <c r="S1712" s="194"/>
      <c r="T1712" s="194"/>
    </row>
  </sheetData>
  <mergeCells count="8">
    <mergeCell ref="A1658:G1658"/>
    <mergeCell ref="J1658:K1658"/>
    <mergeCell ref="A1654:H1654"/>
    <mergeCell ref="A1:K1"/>
    <mergeCell ref="N533:R533"/>
    <mergeCell ref="A1656:B1656"/>
    <mergeCell ref="A1657:H1657"/>
    <mergeCell ref="J1657:K1657"/>
  </mergeCells>
  <dataValidations count="1">
    <dataValidation type="whole" allowBlank="1" showErrorMessage="1" errorTitle="Neispravan unos" error="Unijeti cijelobrojnu vrijednost" promptTitle="Upozorenje !" prompt="Unešena je nedozvoljena vrijednost u polje" sqref="G4:G6 G1374 A1652:G1652 A1660:A1664 B1661:G1664 G290:G291 G277:G278 G284:G285">
      <formula1>0</formula1>
      <formula2>9999</formula2>
    </dataValidation>
  </dataValidations>
  <pageMargins left="0.25" right="0.25" top="0.75" bottom="0.75" header="0.3" footer="0.3"/>
  <pageSetup paperSize="9" scale="9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2023- II REBALANS  </vt:lpstr>
      <vt:lpstr> PLAN PRIHODA 2023-II REBALANS </vt:lpstr>
      <vt:lpstr>PLAN RASHODA_2023-II REBALANS </vt:lpstr>
      <vt:lpstr>POSEBNI DIO_2023-II REBALAN </vt:lpstr>
      <vt:lpstr>' PLAN PRIHODA 2023-II REBALANS '!Podrucje_ispisa</vt:lpstr>
      <vt:lpstr>'PLAN RASHODA_2023-II REBALANS '!Podrucje_ispisa</vt:lpstr>
      <vt:lpstr>'POSEBNI DIO_2023-II REBALAN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2023-11-24T12:18:58Z</cp:lastPrinted>
  <dcterms:created xsi:type="dcterms:W3CDTF">2016-10-10T06:04:15Z</dcterms:created>
  <dcterms:modified xsi:type="dcterms:W3CDTF">2023-12-22T06:29:18Z</dcterms:modified>
</cp:coreProperties>
</file>